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c\Documents\"/>
    </mc:Choice>
  </mc:AlternateContent>
  <xr:revisionPtr revIDLastSave="0" documentId="8_{1CDF474F-51A0-4DE1-80F9-7BB27EE63C22}" xr6:coauthVersionLast="45" xr6:coauthVersionMax="45" xr10:uidLastSave="{00000000-0000-0000-0000-000000000000}"/>
  <bookViews>
    <workbookView xWindow="-110" yWindow="-110" windowWidth="19420" windowHeight="11020" xr2:uid="{3CC3087F-FF81-4920-9B53-0DD1B13E529B}"/>
  </bookViews>
  <sheets>
    <sheet name="Sheet1" sheetId="1" r:id="rId1"/>
  </sheets>
  <definedNames>
    <definedName name="_xlnm._FilterDatabase" localSheetId="0" hidden="1">Sheet1!$A$1:$F$1355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55" i="1" l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<sst xmlns="http://schemas.openxmlformats.org/spreadsheetml/2006/main" count="8661" uniqueCount="5947">
  <si>
    <t>Title</t>
  </si>
  <si>
    <t>EIsbn</t>
  </si>
  <si>
    <t>Publisher</t>
  </si>
  <si>
    <t>Series Title</t>
  </si>
  <si>
    <t>Authors</t>
  </si>
  <si>
    <t>Subject</t>
  </si>
  <si>
    <t>Lcsh</t>
  </si>
  <si>
    <t>Full Record URL</t>
  </si>
  <si>
    <t>Population Mobility and Indigenous Peoples in Australasia and North America</t>
  </si>
  <si>
    <t>Taylor &amp; Francis Group</t>
  </si>
  <si>
    <t>Routledge Research in Population and Migration Ser.</t>
  </si>
  <si>
    <t>Bell, Martin;Taylor, John</t>
  </si>
  <si>
    <t>Social Science; Environmental Studies</t>
  </si>
  <si>
    <t>Human geography -- North America. ; Human geography -- Australasia. ; Population geography -- North America. ; Population geography -- Australasia. ; Indians of North America -- Migrations. ; Indians of North America -- Population. ; Aboriginal Australians -- Migrations.</t>
  </si>
  <si>
    <t>https://ebookcentral.proquest.com/lib/viva-active/detail.action?docID=180398</t>
  </si>
  <si>
    <t>Beyond Primitivism : Indigenous Religious Traditions and Modernity</t>
  </si>
  <si>
    <t>Olupona, Jacob K.</t>
  </si>
  <si>
    <t>Social Science; Religion</t>
  </si>
  <si>
    <t>Primitivism - Religious aspects</t>
  </si>
  <si>
    <t>https://ebookcentral.proquest.com/lib/viva-active/detail.action?docID=182299</t>
  </si>
  <si>
    <t>The Old Lady Trill, the Victory Yell : The Power of Women in Native American Literature</t>
  </si>
  <si>
    <t>Native Americans: Interdisciplinary Perspectives Ser.</t>
  </si>
  <si>
    <t>Hollrah, Patrice</t>
  </si>
  <si>
    <t>Literature</t>
  </si>
  <si>
    <t>American literature -- Indian authors -- History and criticism. ; Women and literature -- United States. ; Indian women -- Intellectual life. ; Indian women in literature. ; Women in literature. ; Indian women.</t>
  </si>
  <si>
    <t>https://ebookcentral.proquest.com/lib/viva-active/detail.action?docID=182878</t>
  </si>
  <si>
    <t>Chief Joseph, Yellow Wolf and the Creation of Nez Perce History in the Pacific Northwest</t>
  </si>
  <si>
    <t>Indigenous Peoples and Politics Ser.</t>
  </si>
  <si>
    <t>McCoy, Robert Ross</t>
  </si>
  <si>
    <t>History</t>
  </si>
  <si>
    <t>Joseph, -- Nez Percé Chief, -- 1840-1904. ; Yellow Wolf, -- 1855-1935. ; Nez Percé Indians -- Historiography. ; Nez Percé Indians -- Cultural assimilation. ; Nez Percé Indians -- Public opinion. ; Ethnohistory -- Northwest, Pacific. ; Assimilation (Sociology) -- Northwest, Pacific.</t>
  </si>
  <si>
    <t>https://ebookcentral.proquest.com/lib/viva-active/detail.action?docID=182919</t>
  </si>
  <si>
    <t>Native American and Chicano/a Literature of the American Southwest : Intersections of Indigenous Literatures</t>
  </si>
  <si>
    <t>Hebebrand, Christina M.</t>
  </si>
  <si>
    <t>American literature -- Southwestern States -- History and criticism. ; American literature -- Indian authors -- History and criticism. ; American literature -- Mexican American authors -- History and criticism. ; Indians of North America -- Southwestern States -- Intellectual life. ; Mexican Americans -- Southwestern States -- Intellectual life. ; Authors, American -- Homes and haunts -- Southwestern States. ; Mexican Americans in literature.</t>
  </si>
  <si>
    <t>https://ebookcentral.proquest.com/lib/viva-active/detail.action?docID=199641</t>
  </si>
  <si>
    <t>The Present Politics of the Past : Indigenous Legal Activism and Resistance to (Neo)Liberal Governmentality</t>
  </si>
  <si>
    <t>Eudaily, Seán Patrick</t>
  </si>
  <si>
    <t>Political Science; Social Science</t>
  </si>
  <si>
    <t>Indigenous peoples - Government relations.</t>
  </si>
  <si>
    <t>https://ebookcentral.proquest.com/lib/viva-active/detail.action?docID=199656</t>
  </si>
  <si>
    <t>A Seat at the Table : Huston Smith in Conversation with Native Americans on Religious Freedom</t>
  </si>
  <si>
    <t>University of California Press</t>
  </si>
  <si>
    <t>Smith, Huston;Cousineau, Phil;Cousineau, Phil;Rhine, Gary</t>
  </si>
  <si>
    <t>Political Science; History</t>
  </si>
  <si>
    <t>Indians of North America -- Religion. ; Freedom of religion -- United States.</t>
  </si>
  <si>
    <t>https://ebookcentral.proquest.com/lib/viva-active/detail.action?docID=240960</t>
  </si>
  <si>
    <t>Ghost Dances and Identity : Prophetic Religion and American Indian Ethnogenesis in the Nineteenth Century</t>
  </si>
  <si>
    <t>Smoak, Gregory</t>
  </si>
  <si>
    <t>Religion; History</t>
  </si>
  <si>
    <t>Ghost dance -- History -- 19th century. ; Shoshoni Indians -- Rites and ceremonies. ; Shoshoni Indians -- Religion. ; Shoshoni Indians -- Ethnic identity. ; Bannock Indians -- Rites and ceremonies. ; Bannock Indians -- Religion. ; Bannock Indians -- Ethnic identity.</t>
  </si>
  <si>
    <t>https://ebookcentral.proquest.com/lib/viva-active/detail.action?docID=240963</t>
  </si>
  <si>
    <t>From Movements to Parties in Latin America : The Evolution of Ethnic Politics</t>
  </si>
  <si>
    <t>Cambridge University Press</t>
  </si>
  <si>
    <t>Van Cott, Donna Lee</t>
  </si>
  <si>
    <t>Political Science</t>
  </si>
  <si>
    <t>Latin America - Ethnic relations - Political aspects</t>
  </si>
  <si>
    <t>https://ebookcentral.proquest.com/lib/viva-active/detail.action?docID=244427</t>
  </si>
  <si>
    <t>A Companion to the Anthropology of American Indians</t>
  </si>
  <si>
    <t>John Wiley &amp; Sons, Incorporated</t>
  </si>
  <si>
    <t>Wiley Blackwell Companions to Anthropology Ser.</t>
  </si>
  <si>
    <t>Biolsi, Thomas</t>
  </si>
  <si>
    <t>Indians of North America -- Study and teaching. ; Anthropology -- Research -- North America. ; Indians of North America -- History. ; Indians of North America -- Research.</t>
  </si>
  <si>
    <t>https://ebookcentral.proquest.com/lib/viva-active/detail.action?docID=255299</t>
  </si>
  <si>
    <t>Folsom : New Archaeological Investigations of a Classic Paleoindian Bison Kill</t>
  </si>
  <si>
    <t>Meltzer, David J.</t>
  </si>
  <si>
    <t>Colfax County (N.M.) - Antiquities</t>
  </si>
  <si>
    <t>https://ebookcentral.proquest.com/lib/viva-active/detail.action?docID=257077</t>
  </si>
  <si>
    <t>American Confluence : The Missouri Frontier from Borderland to Border State</t>
  </si>
  <si>
    <t>Indiana University Press</t>
  </si>
  <si>
    <t>Aron, Stephen</t>
  </si>
  <si>
    <t>Frontier and pioneer life -- Missouri. ; Frontier and pioneer life -- Missouri River Region. ; Indians of North America -- Missouri River Region. ; Missouri -- History -- 18th century. ; Missouri -- History -- 19th century. ; Missouri River Region -- History -- 18th century. ; Missouri River Region -- History -- 19th century.</t>
  </si>
  <si>
    <t>https://ebookcentral.proquest.com/lib/viva-active/detail.action?docID=268929</t>
  </si>
  <si>
    <t>The Scratch of a Pen : 1763 and the Transformation of North America</t>
  </si>
  <si>
    <t>Oxford University Press, Incorporated</t>
  </si>
  <si>
    <t>Pivotal Moments in American History Ser.</t>
  </si>
  <si>
    <t>Calloway, Colin G.</t>
  </si>
  <si>
    <t>History; Economics</t>
  </si>
  <si>
    <t>Treaty of Paris -- (1763) ; Frontier and pioneer life -- North America. ; Land tenure -- North America -- History -- 18th century. ; Indians of North America -- History -- Colonial period, ca. 1600-1775. ; North America -- History -- Colonial period, ca. 1600-1775. ; Great Britain -- Colonies -- America. ; France -- Colonies -- America.</t>
  </si>
  <si>
    <t>https://ebookcentral.proquest.com/lib/viva-active/detail.action?docID=273199</t>
  </si>
  <si>
    <t>Native Insurgencies and the Genocidal Impulse in the Americas</t>
  </si>
  <si>
    <t>Robins, Nicholas A.</t>
  </si>
  <si>
    <t>History; Social Science</t>
  </si>
  <si>
    <t>Tupac-Amaru, José Gabriel, -- d. 1781. ; Tupak Katari, -- 1750-1781. ; Pueblo Revolt, 1680. ; Yucatán (Mexico : State) -- History -- Caste War, 1847-1855. ; Peru -- History -- Insurrection of Tupac Amaru, 1780-1781. ; La Paz (Bolivia) -- History -- Siege, 1781.</t>
  </si>
  <si>
    <t>https://ebookcentral.proquest.com/lib/viva-active/detail.action?docID=273469</t>
  </si>
  <si>
    <t>Dream Catchers : How Mainstream America Discovered Native Spirituality</t>
  </si>
  <si>
    <t>Jenkins, Philip</t>
  </si>
  <si>
    <t>Religion</t>
  </si>
  <si>
    <t>Indians -- Religion -- Influence. ; America -- Religion.</t>
  </si>
  <si>
    <t>https://ebookcentral.proquest.com/lib/viva-active/detail.action?docID=281160</t>
  </si>
  <si>
    <t>Biology Unmoored : Melanesian Reflections on Life and Biotechnology</t>
  </si>
  <si>
    <t>Bamford, Sandra</t>
  </si>
  <si>
    <t>Hamtai (Papua New Guinean people) -- Ethnobiology. ; Hamtai (Papua New Guinean people) -- Agriculture. ; Hamtai (Papua New Guinean people) -- Psychology. ; Human body -- Social aspects -- Papua New Guinea -- Gulf Province. ; Indigenous peoples -- Ecology -- Papua New Guinea -- Gulf Province. ; Ethnobiology -- Papua New Guinea -- Gulf Province. ; Biotechnology.</t>
  </si>
  <si>
    <t>https://ebookcentral.proquest.com/lib/viva-active/detail.action?docID=284434</t>
  </si>
  <si>
    <t>Monuments, Empires, and Resistance : The Araucanian Polity and Ritual Narratives</t>
  </si>
  <si>
    <t>Cambridge Studies in Archaeology</t>
  </si>
  <si>
    <t>Dillehay, Tom D.</t>
  </si>
  <si>
    <t>Mapuche Indians--History</t>
  </si>
  <si>
    <t>https://ebookcentral.proquest.com/lib/viva-active/detail.action?docID=288641</t>
  </si>
  <si>
    <t>Soul Hunters : Hunting, Animism, and Personhood among the Siberian Yukaghirs</t>
  </si>
  <si>
    <t>Willerslev, Rane</t>
  </si>
  <si>
    <t>Yukaghir -- Hunting -- Russia (Federation) -- Siberia. ; Animism -- Russia (Federation) -- Siberia. ; Yukaghir -- Russia (Federation) -- Siberia -- Folklore. ; Ethnology -- Russia (Federation) -- Siberia. ; Siberia (Russia) -- Social life and customs.</t>
  </si>
  <si>
    <t>https://ebookcentral.proquest.com/lib/viva-active/detail.action?docID=306140</t>
  </si>
  <si>
    <t>African, Native, and Jewish American Literature and the Reshaping of Modernism</t>
  </si>
  <si>
    <t>Palgrave Macmillan US</t>
  </si>
  <si>
    <t>Kent, A.</t>
  </si>
  <si>
    <t>History; Literature</t>
  </si>
  <si>
    <t>American literature -- 20th century -- History and criticism. ; Modernism (Literature) -- United States. ; American literature -- African American authors -- History and criticism. ; American literature -- Indian authors -- History and criticism. ; American literature -- Jewish authors -- History and criticism.</t>
  </si>
  <si>
    <t>https://ebookcentral.proquest.com/lib/viva-active/detail.action?docID=307569</t>
  </si>
  <si>
    <t>Being Indian in Hueyapan : A Revised and Updated Edition</t>
  </si>
  <si>
    <t>Friedlander, J.</t>
  </si>
  <si>
    <t>Social Science</t>
  </si>
  <si>
    <t>Indians of Mexico -- Race identity. ; Nahuas -- Social life and customs. ; Hueyapan (Morelos, Mexico)</t>
  </si>
  <si>
    <t>https://ebookcentral.proquest.com/lib/viva-active/detail.action?docID=307629</t>
  </si>
  <si>
    <t>The Psychopolitics of Liberation : Political Consciousness from a Jungian Perspective</t>
  </si>
  <si>
    <t>Alschuler, L.</t>
  </si>
  <si>
    <t>Political psychology. ; Jungian psychology. ; Liberty -- Psychological aspects. ; Indians -- Psychology -- Case studies. ; Indians -- Politics and government.</t>
  </si>
  <si>
    <t>https://ebookcentral.proquest.com/lib/viva-active/detail.action?docID=308295</t>
  </si>
  <si>
    <t>Bear Island : The War at Sugar Point</t>
  </si>
  <si>
    <t>University of Minnesota Press</t>
  </si>
  <si>
    <t>Indigenous Americas</t>
  </si>
  <si>
    <t>Vizenor, Gerald;Weaver, Jace</t>
  </si>
  <si>
    <t>United States. -- Army. -- Infantry Regiment, 3rd -- Poetry. ; Ojibwa Indians -- Poetry.</t>
  </si>
  <si>
    <t>https://ebookcentral.proquest.com/lib/viva-active/detail.action?docID=310735</t>
  </si>
  <si>
    <t>Indians in Minnesota</t>
  </si>
  <si>
    <t>Graves, Kathy Davis;Ebbott, Elizabeth;Minnesota, League of Women Voters of</t>
  </si>
  <si>
    <t>Indians of North America -- Minnesota -- Social conditions. ; Indians of North America -- Government relations.</t>
  </si>
  <si>
    <t>https://ebookcentral.proquest.com/lib/viva-active/detail.action?docID=310765</t>
  </si>
  <si>
    <t>Nez Perce Country</t>
  </si>
  <si>
    <t>University of Nebraska Press</t>
  </si>
  <si>
    <t>Josephy, Alvin M. Jr.;FiveCrows, Jeremy</t>
  </si>
  <si>
    <t>Nez Percé Indians -- History. ; Nez Percé Indians -- Social life and customs. ; Northwest, Pacific -- History. ; Northwest, Pacific -- Social life and customs.</t>
  </si>
  <si>
    <t>https://ebookcentral.proquest.com/lib/viva-active/detail.action?docID=313329</t>
  </si>
  <si>
    <t>Transatlantic Voices : Interpretations of Native North American Literatures</t>
  </si>
  <si>
    <t>Pulitano, Elvira</t>
  </si>
  <si>
    <t>American fiction -- Indian authors -- History and criticism. ; Criticism -- Europe. ; Characters and characteristics in literature. ; Indians of North America -- Intellectual life. ; Indians in literature.</t>
  </si>
  <si>
    <t>https://ebookcentral.proquest.com/lib/viva-active/detail.action?docID=313339</t>
  </si>
  <si>
    <t>Killing for Land in Early California : Indian Blood at Round Valley</t>
  </si>
  <si>
    <t>Algora Publishing</t>
  </si>
  <si>
    <t>Baumgardner, Frank H.</t>
  </si>
  <si>
    <t>History; Political Science</t>
  </si>
  <si>
    <t>Indians of North America -- Land tenure -- California -- Round Valley. ; Indians of North America -- Wars -- California -- Round Valley. ; Indians of North America -- California -- Round Valley -- Government relations. ; Frontier and pioneer life -- California -- Round Valley. ; United States -- Politics and government. ; United States -- Race relations.</t>
  </si>
  <si>
    <t>https://ebookcentral.proquest.com/lib/viva-active/detail.action?docID=318721</t>
  </si>
  <si>
    <t>The Habitat of Australia's Aboriginal Languages : Past, Present and Future</t>
  </si>
  <si>
    <t>De Gruyter, Inc.</t>
  </si>
  <si>
    <t>Trends in Linguistics. Studies and Monographs [TiLSM] Ser.</t>
  </si>
  <si>
    <t>Leitner, Gerhard;Malcolm, Ian G.</t>
  </si>
  <si>
    <t>Language/Linguistics</t>
  </si>
  <si>
    <t>Australian languages -- History. ; Pidgin English -- Australia. ; Aboriginal Australians -- Education. ; Languages in contact -- Australia.</t>
  </si>
  <si>
    <t>https://ebookcentral.proquest.com/lib/viva-active/detail.action?docID=325639</t>
  </si>
  <si>
    <t>People Have Never Stopped Dancing : Native American Modern Dance Histories</t>
  </si>
  <si>
    <t>Murphy, Jacqueline Shea</t>
  </si>
  <si>
    <t>Fine Arts; Sport &amp;amp; Recreation</t>
  </si>
  <si>
    <t>Indian dance -- United States -- History -- 20th century. ; Modern dance -- United States -- History -- 20th century.</t>
  </si>
  <si>
    <t>https://ebookcentral.proquest.com/lib/viva-active/detail.action?docID=328377</t>
  </si>
  <si>
    <t>Taking Their Word : Literature and the Signs of Central America</t>
  </si>
  <si>
    <t>Arias, Arturo</t>
  </si>
  <si>
    <t>Central American literature -- 20th century -- History and criticism. ; Central American literature -- Mayan influences. ; National characteristics, Central American, in literature.</t>
  </si>
  <si>
    <t>https://ebookcentral.proquest.com/lib/viva-active/detail.action?docID=328383</t>
  </si>
  <si>
    <t>Family Life in Native America</t>
  </si>
  <si>
    <t>ABC-CLIO, LLC</t>
  </si>
  <si>
    <t>Family Life Through History Ser.</t>
  </si>
  <si>
    <t>Volo, James M.;Volo, Dorothy Denneen</t>
  </si>
  <si>
    <t>Woodland Indians -- Social life and customs. ; Woodland Indians -- History. ; Families -- East (U.S.) -- History. ; Kinship -- East (U.S.) -- History. ; Social structure -- East (U.S.) -- History. ; East (U.S.) -- Social life and customs. ; East (U.S.) -- History.</t>
  </si>
  <si>
    <t>https://ebookcentral.proquest.com/lib/viva-active/detail.action?docID=329114</t>
  </si>
  <si>
    <t>Encounters of the Spirit : Native Americans and European Colonial Religion</t>
  </si>
  <si>
    <t>Pointer, Richard W.</t>
  </si>
  <si>
    <t>Christianity and culture -- North America. ; Christianity and other religions. ; Indians of North America -- Religion. ; North America -- Church history.</t>
  </si>
  <si>
    <t>https://ebookcentral.proquest.com/lib/viva-active/detail.action?docID=329985</t>
  </si>
  <si>
    <t>Empowerment of North American Indian Girls : Ritual Expressions at Puberty</t>
  </si>
  <si>
    <t>Markstrom, Carol A.</t>
  </si>
  <si>
    <t>Indians of North America -- Social life and customs. ; Indian girls -- United States -- Social life and customs. ; Puberty rites -- United States. ; United States -- Social life and customs.</t>
  </si>
  <si>
    <t>https://ebookcentral.proquest.com/lib/viva-active/detail.action?docID=332861</t>
  </si>
  <si>
    <t>Households and Hegemony : Early Creek Prestige Goods, Symbolic Capital, and Social Power</t>
  </si>
  <si>
    <t>Wesson, Cameron B.</t>
  </si>
  <si>
    <t>Creek Indians -- Alabama -- Social life and customs. ; Creek Indians -- Alabama -- Politics and government. ; Indians of North America -- First contact with Europeans -- Alabama. ; Households -- Alabama -- History. ; Excavations (Archaeology) -- Alabama. ; Alabama -- Antiquities.</t>
  </si>
  <si>
    <t>https://ebookcentral.proquest.com/lib/viva-active/detail.action?docID=332866</t>
  </si>
  <si>
    <t>Medicine Bags and Dog Tags : American Indian Veterans from Colonial Times to the Second Iraq War</t>
  </si>
  <si>
    <t>Carroll, Al;Starna, William A.</t>
  </si>
  <si>
    <t>Indian veterans. ; Indians of North America -- Government relations. ; Indians of North America -- History. ; United States -- Armed Forces -- Participation, Indian -- History.</t>
  </si>
  <si>
    <t>https://ebookcentral.proquest.com/lib/viva-active/detail.action?docID=332868</t>
  </si>
  <si>
    <t>Restoring the Chain of Friendship : British Policy and the Indians of the Great Lakes, 1783-1815</t>
  </si>
  <si>
    <t>Willig, Timothy D.;Folsom, Ed</t>
  </si>
  <si>
    <t>Indians of North America -- Great Lakes Region (North America) -- Treaties. ; Indians of North America -- Great Lakes Region (North America) -- Government relations. ; Great Britain -- Foreign relations -- Treaties. ; Great Britain -- Foreign relations -- United States. ; United States -- Foreign relations -- Great Britain. ; United States -- History -- 1783-1815.</t>
  </si>
  <si>
    <t>https://ebookcentral.proquest.com/lib/viva-active/detail.action?docID=332872</t>
  </si>
  <si>
    <t>Yamasee War : A Study of Culture, Economy, and Conflict in the Colonial South</t>
  </si>
  <si>
    <t>Indians of the Southeast</t>
  </si>
  <si>
    <t>Ramsey, William L.</t>
  </si>
  <si>
    <t>Yamasee War, S.C., 1715-1716. ; Yamassee Indians -- Wars. ; Yamassee Indians -- Commerce. ; Indian slaves -- South Carolina -- History. ; South Carolina -- History -- Colonial period, ca. 1600-1775.</t>
  </si>
  <si>
    <t>https://ebookcentral.proquest.com/lib/viva-active/detail.action?docID=332880</t>
  </si>
  <si>
    <t>Chief Bender's Burden : The Silent Struggle of a Baseball Star</t>
  </si>
  <si>
    <t>Swift, Tom</t>
  </si>
  <si>
    <t>Sport &amp;amp; Recreation</t>
  </si>
  <si>
    <t>Bender, Charles Albert, -- 1883-1954. ; Philadelphia Athletics (Baseball team) -- Biography. ; Baseball players -- Pennsylvania -- Philadelphia -- Biography. ; Indian baseball players -- United States -- Biography.</t>
  </si>
  <si>
    <t>https://ebookcentral.proquest.com/lib/viva-active/detail.action?docID=332883</t>
  </si>
  <si>
    <t>Kiowa Humanity and the Invasion of the State</t>
  </si>
  <si>
    <t>Rand, Jacki Thompson</t>
  </si>
  <si>
    <t>Kiowa philosophy. ; Kiowa Indians -- History. ; Kiowa Indians -- Government relations. ; United States -- Social policy. ; United States -- Race relations. ; United States -- Politics and government.</t>
  </si>
  <si>
    <t>https://ebookcentral.proquest.com/lib/viva-active/detail.action?docID=332890</t>
  </si>
  <si>
    <t>Engraving the Savage : The New World and Techniques of Civilization</t>
  </si>
  <si>
    <t>Gaudio, Michael</t>
  </si>
  <si>
    <t>Fine Arts</t>
  </si>
  <si>
    <t>Indians in art. ; Difference (Philosophy) in art. ; Art -- Reproduction. ; Prints -- Technique. ; America -- Discovery and exploration -- European -- Historiography.</t>
  </si>
  <si>
    <t>https://ebookcentral.proquest.com/lib/viva-active/detail.action?docID=349970</t>
  </si>
  <si>
    <t>Inner Life of Mestizo Nationalism</t>
  </si>
  <si>
    <t>Cultural Studies of the Americas</t>
  </si>
  <si>
    <t>Tarica, Estelle</t>
  </si>
  <si>
    <t>Latin American fiction -- 20th century -- History and criticism. ; Mestizaje in literature. ; Nationalism in literature.</t>
  </si>
  <si>
    <t>https://ebookcentral.proquest.com/lib/viva-active/detail.action?docID=349973</t>
  </si>
  <si>
    <t>Taxidermic Signs : Reconstructing Aboriginality</t>
  </si>
  <si>
    <t>Wakeham, Pauline</t>
  </si>
  <si>
    <t>Indians of North America -- Museums. ; Indians of North America -- Material culture -- Exhibitions. ; Indians of North America -- Antiquities -- Exhibitions. ; Museum techniques -- North America. ; Taxidermy -- North America.</t>
  </si>
  <si>
    <t>https://ebookcentral.proquest.com/lib/viva-active/detail.action?docID=349975</t>
  </si>
  <si>
    <t>Circuits of Culture : Media, Politics, and Indigenous Identity in the Andes</t>
  </si>
  <si>
    <t>Visible Evidence</t>
  </si>
  <si>
    <t>Himpele, Jeff D.</t>
  </si>
  <si>
    <t>Social Science; Fine Arts</t>
  </si>
  <si>
    <t>Motion pictures -- Social aspects -- Andes Region. ; Television broadcasting -- Social aspects -- Andes Region.</t>
  </si>
  <si>
    <t>https://ebookcentral.proquest.com/lib/viva-active/detail.action?docID=359649</t>
  </si>
  <si>
    <t>Hispanisation : The Impact of Spanish on the Lexicon and Grammar of the Indigenous Languages of Austronesia and the Americas</t>
  </si>
  <si>
    <t>Empirical Approaches to Language Typology [EALT] Ser.</t>
  </si>
  <si>
    <t>Stolz, Thomas;Bakker, Dik;Salas Palomo, Rosa</t>
  </si>
  <si>
    <t>Indians -- Languages -- Foreign elements -- Spanish. ; Indians -- Languages -- Foreign words and phrases -- Spanish. ; Austronesian languages -- Foreign elements -- Spanish. ; Austronesian languages -- Foreign words and phrases -- Spanish. ; Spanish language -- Influence on foreign languages.</t>
  </si>
  <si>
    <t>https://ebookcentral.proquest.com/lib/viva-active/detail.action?docID=364687</t>
  </si>
  <si>
    <t>Pre-Columbian Landscapes of Creation and Origin</t>
  </si>
  <si>
    <t>Springer New York</t>
  </si>
  <si>
    <t>Staller, John</t>
  </si>
  <si>
    <t>Indian mythology -- Latin America. ; Landscape archaeology -- Latin America. ; Indians -- Antiquities. ; Indians -- Religion. ; Indians -- Social life and customs. ; Sacred space -- Latin America. ; Creation.</t>
  </si>
  <si>
    <t>https://ebookcentral.proquest.com/lib/viva-active/detail.action?docID=372545</t>
  </si>
  <si>
    <t>Arguing with Tradition : The Language of Law in Hopi Tribal Court</t>
  </si>
  <si>
    <t>University of Chicago Press</t>
  </si>
  <si>
    <t>Chicago Series in Law and Society</t>
  </si>
  <si>
    <t>Richland, Justin B.</t>
  </si>
  <si>
    <t>Law</t>
  </si>
  <si>
    <t>Hopi Indians -- Legal status, laws, etc. ; Hopi law -- Arizona. ; Indian courts -- United States. ; Indians of North America -- Arizona. ; Hopi Tribe of Arizona.</t>
  </si>
  <si>
    <t>https://ebookcentral.proquest.com/lib/viva-active/detail.action?docID=408186</t>
  </si>
  <si>
    <t>The Collected Writings of Samson Occom, Mohegan : Literature and Leadership in Eighteenth-century Native America</t>
  </si>
  <si>
    <t>Brooks, Joanna;Occom, Samson;Warrior, Robert;Warrior, Robert</t>
  </si>
  <si>
    <t>Occom, Samson, -- 1723-1792 -- Diaries. ; Occom, Samson, -- 1723-1792 -- Correspondence. ; Mohegan Indians -- Biography. ; Indian civic leaders -- New England -- Biography. ; Indian religious leaders -- New England -- Biography. ; Preaching -- Early works to 1800. ; Indians of North America -- Missions -- New England.</t>
  </si>
  <si>
    <t>https://ebookcentral.proquest.com/lib/viva-active/detail.action?docID=415845</t>
  </si>
  <si>
    <t>The Last Indian War : The Nez Perce Story</t>
  </si>
  <si>
    <t>Oxford University Press USA - OSO</t>
  </si>
  <si>
    <t>West;West, Elliott</t>
  </si>
  <si>
    <t>Joseph, -- Nez Percé Chief, -- 1840-1904. ; Nez Percé Indians -- Wars, 1877. ; Nez Percé Indians -- History -- 19th century. ; Big Hole, Battle of the, Mont., 1877.</t>
  </si>
  <si>
    <t>https://ebookcentral.proquest.com/lib/viva-active/detail.action?docID=431369</t>
  </si>
  <si>
    <t>Documents of Native American Political Development : 1500s to 1933</t>
  </si>
  <si>
    <t>Wilkins, David E.</t>
  </si>
  <si>
    <t>Toronto (Ont.) -- History. ; Toronto (Ont.) -- History -- Anecdotes. ; Toronto (Ont.) -- Social life and customs -- Anecdotes.</t>
  </si>
  <si>
    <t>https://ebookcentral.proquest.com/lib/viva-active/detail.action?docID=431377</t>
  </si>
  <si>
    <t>History's Shadow : Native Americans and Historical Consciousness in the Nineteenth Century</t>
  </si>
  <si>
    <t>Conn, Steven</t>
  </si>
  <si>
    <t>Indians of North America -- History -- 19th century. ; Ethnology -- United States. ; United States -- Civilization -- Indian influences.</t>
  </si>
  <si>
    <t>https://ebookcentral.proquest.com/lib/viva-active/detail.action?docID=432207</t>
  </si>
  <si>
    <t>The Common Pot : The Recovery of Native Space in the Northeast</t>
  </si>
  <si>
    <t>Brooks, Lisa</t>
  </si>
  <si>
    <t>Geographical perception -- North America. ; Indian philosophy. ; Indians of North America -- Psychology. ; Sacred space -- North America.</t>
  </si>
  <si>
    <t>https://ebookcentral.proquest.com/lib/viva-active/detail.action?docID=433171</t>
  </si>
  <si>
    <t>Public Native America : Tribal Self-Representation in Casinos, Museums, and Powows</t>
  </si>
  <si>
    <t>Rutgers University Press</t>
  </si>
  <si>
    <t>Lawlor, Mary</t>
  </si>
  <si>
    <t>Indians of North America -- Public opinion. ; Indians of North America -- Psychology. ; Indians of North America -- Ethnic identity. ; Ethnopsychology -- North America. ; Self-perception -- North America. ; Indians in popular culture -- North America. ; Powwows -- North America.</t>
  </si>
  <si>
    <t>https://ebookcentral.proquest.com/lib/viva-active/detail.action?docID=435056</t>
  </si>
  <si>
    <t>Indianizing Film : Decolonization, the Andes, and the Question of Technology</t>
  </si>
  <si>
    <t>New Directions in International Studies</t>
  </si>
  <si>
    <t>Schiwy, Freya;Petro, Patrice</t>
  </si>
  <si>
    <t>Social Science; History</t>
  </si>
  <si>
    <t>Indian activists - Bolivia</t>
  </si>
  <si>
    <t>https://ebookcentral.proquest.com/lib/viva-active/detail.action?docID=435060</t>
  </si>
  <si>
    <t>Dialogues in Cuban Archaeology</t>
  </si>
  <si>
    <t>University of Alabama Press</t>
  </si>
  <si>
    <t>Curet, L. Antonio;Dawdy, Shannon Lee;Dominguez, Lourdes;Febles, Jorge;Gnivecki, Perry L.;Godo Torres, Pedro Pablo;Hung, Jorge Ulloa;Linville, Marlene S.;Moure, Ramon D.;Rodriguez-Arce, Cesar A.</t>
  </si>
  <si>
    <t>Indians of the West Indies -- Cuba -- Antiquities -- Congresses. ; Excavations (Archaeology) -- Cuba -- Congresses. ; Cuba -- Antiquities -- Congresses.</t>
  </si>
  <si>
    <t>https://ebookcentral.proquest.com/lib/viva-active/detail.action?docID=438120</t>
  </si>
  <si>
    <t>Chiricahua Apache Enduring Power : Naiche's Puberty Ceremony Paintings</t>
  </si>
  <si>
    <t>Contemporary American Indian Studies</t>
  </si>
  <si>
    <t>Griffin-Pierce, Trudy;Reid, J. Jefferson;Whittlesey, Stephanie M.</t>
  </si>
  <si>
    <t>Puberty rites - Southwest, New</t>
  </si>
  <si>
    <t>https://ebookcentral.proquest.com/lib/viva-active/detail.action?docID=438122</t>
  </si>
  <si>
    <t>Plaquemine Archaeology</t>
  </si>
  <si>
    <t>Rees, Mark A.;Livingood, Patrick C.;Brown, Ian W.;Jeter, Marvin D.;Kidder, Tristram R.;Roe, Lori;Shuman, Malcolm K.;Weinstein, Richard A.;Wells, Douglas C.;Williams, Stephen</t>
  </si>
  <si>
    <t>Plaquemine culture. ; Mounds -- Louisiana. ; Mounds -- Mississippi. ; Plaquemine pottery -- Louisiana. ; Plaquemine pottery -- Mississippi. ; Excavations (Archaeology) -- Louisiana. ; Excavations (Archaeology) -- Mississippi.</t>
  </si>
  <si>
    <t>https://ebookcentral.proquest.com/lib/viva-active/detail.action?docID=438123</t>
  </si>
  <si>
    <t>The History of the American Indians</t>
  </si>
  <si>
    <t>Adair, James;Braund, Kathryn H.;Braund, Kathryn E. Holland</t>
  </si>
  <si>
    <t>Indians of North America -- Southern States. ; Indians of North America -- Origin.</t>
  </si>
  <si>
    <t>https://ebookcentral.proquest.com/lib/viva-active/detail.action?docID=438128</t>
  </si>
  <si>
    <t>On Land and Sea : Native American Uses of Biological Resources in the West Indies</t>
  </si>
  <si>
    <t>Newsom, Lee A.;Wing, Elizabeth S.</t>
  </si>
  <si>
    <t>Science; History; Science: Biology/Natural History</t>
  </si>
  <si>
    <t>Ethnology - Caribbean Area</t>
  </si>
  <si>
    <t>https://ebookcentral.proquest.com/lib/viva-active/detail.action?docID=438146</t>
  </si>
  <si>
    <t>Eastern Cherokee Fishing</t>
  </si>
  <si>
    <t>Altman, Heidi M.</t>
  </si>
  <si>
    <t>Agriculture; History</t>
  </si>
  <si>
    <t>Traditional ecological knowledge - North Carolina</t>
  </si>
  <si>
    <t>https://ebookcentral.proquest.com/lib/viva-active/detail.action?docID=438149</t>
  </si>
  <si>
    <t>Catawba Indian Pottery : The Survival of a Folk Tradition</t>
  </si>
  <si>
    <t>Blumer, Thomas John;Harris, William L.</t>
  </si>
  <si>
    <t>Fine Arts; History</t>
  </si>
  <si>
    <t>Catawba pottery -- Themes, motives. ; Catawba Indians -- Industries. ; Pottery craft -- South Carolina.</t>
  </si>
  <si>
    <t>https://ebookcentral.proquest.com/lib/viva-active/detail.action?docID=438154</t>
  </si>
  <si>
    <t>The Archaeology of Town Creek</t>
  </si>
  <si>
    <t>Boudreaux, Edmond A.</t>
  </si>
  <si>
    <t>Excavations (Archaeology) - North Carolina</t>
  </si>
  <si>
    <t>https://ebookcentral.proquest.com/lib/viva-active/detail.action?docID=438155</t>
  </si>
  <si>
    <t>Stone Tool Traditions in the Contact Era</t>
  </si>
  <si>
    <t>Bamforth, Douglas;Bayman, James M.;Carmody, Michael L.;Cassell, Mark S.;Johnson, Jay K.;Nassaney, Michael S.;Odell, George H.;Ruggiero, Dino A.;Silliman, Stephen W.;Volmar, Michael A.</t>
  </si>
  <si>
    <t>Engineering; History; Engineering: General</t>
  </si>
  <si>
    <t>Indians of North America -- Implements. ; Indians of North America -- First contact with Europeans. ; Indians of North America -- Antiquities. ; Stone implements -- North America. ; North America -- Antiquities.</t>
  </si>
  <si>
    <t>https://ebookcentral.proquest.com/lib/viva-active/detail.action?docID=438164</t>
  </si>
  <si>
    <t>European Metals in Native Hands : Rethinking Technological Change 1640-1683</t>
  </si>
  <si>
    <t>Ehrhardt, Kathleen L.</t>
  </si>
  <si>
    <t>History; Engineering; Engineering: Manufacturing</t>
  </si>
  <si>
    <t>Illinois Indians -- First contact with Europeans. ; Illinois Indians -- Industries. ; Illinois Indians -- Commerce. ; Imports -- Mississippi River Valley -- History -- 17th century. ; Exports -- Europe -- History -- 17th century. ; Indian copperwork -- Mississippi River Valley. ; Copper implements -- Europe -- History.</t>
  </si>
  <si>
    <t>https://ebookcentral.proquest.com/lib/viva-active/detail.action?docID=438168</t>
  </si>
  <si>
    <t>Archaeology of the Lower Muskogee Creek Indians, 1715-1836</t>
  </si>
  <si>
    <t>Bonhage-Freund, Mary Theresa;Foster, Howard Thomas;O'Steen, Lisa D.</t>
  </si>
  <si>
    <t>Creek Indians -- Chattahoochee River Valley -- Antiquities. ; Creek Indians -- Material culture -- Chattahoochee River Valley. ; Excavations (Archaeology) -- Chattahoochee River Valley. ; Chattahoochee River Valley -- Antiquities.</t>
  </si>
  <si>
    <t>https://ebookcentral.proquest.com/lib/viva-active/detail.action?docID=438174</t>
  </si>
  <si>
    <t>Remote Sensing in Archaeology : An Explicitly North American Perspective</t>
  </si>
  <si>
    <t>Johnson, Jay K.;Clay, R. Berle;Conyers, Lawrence B.;Dalan, Rinita A.;Giardano, Marco;Green, Thomas J.;Haley, Bryan S.;Hargrave, Michael L.;Kvamme, Kenneth L.;Lockhart, Jami J.</t>
  </si>
  <si>
    <t>Archaeology -- Remote sensing. ; Archaeology -- North America -- Remote sensing. ; Indians of North America -- Antiquities -- Remote sensing. ; Excavations (Archaeology) -- North America. ; North America -- Antiquities -- Remote sensing.</t>
  </si>
  <si>
    <t>https://ebookcentral.proquest.com/lib/viva-active/detail.action?docID=438187</t>
  </si>
  <si>
    <t>Southeastern Ceremonial Complex : Chronology, Content, Contest</t>
  </si>
  <si>
    <t>King, Adam;Alt, Susan M.;Dye, David H.;Hamlin, Jenna M.;Kelly, Lucretia Starr Schryver;Kozuch, Laura;Marceaux, Paul Shawn;Muller, Jon;Parker, Kathryn E.;Pauketat, Timothy R.</t>
  </si>
  <si>
    <t>Mississippian culture. ; Indians of North America -- Southern States -- Rites and ceremonies. ; Indians of North America -- Southern States -- Antiquities. ; Southern States -- Antiquities.</t>
  </si>
  <si>
    <t>https://ebookcentral.proquest.com/lib/viva-active/detail.action?docID=438190</t>
  </si>
  <si>
    <t>Reachable Stars : Patterns in the Ethnoastronomy of Eastern North America</t>
  </si>
  <si>
    <t>Lankford, George E.</t>
  </si>
  <si>
    <t>Ethnoastronomy - Great Plains</t>
  </si>
  <si>
    <t>https://ebookcentral.proquest.com/lib/viva-active/detail.action?docID=438194</t>
  </si>
  <si>
    <t>Inconstant Companions : Archaeology and North American Indian Oral Traditions</t>
  </si>
  <si>
    <t>Mason, Ronald J.</t>
  </si>
  <si>
    <t>Ethnohistory - North America</t>
  </si>
  <si>
    <t>https://ebookcentral.proquest.com/lib/viva-active/detail.action?docID=438201</t>
  </si>
  <si>
    <t>Circular Villages of the Monongahela Tradition</t>
  </si>
  <si>
    <t>Means, Bernard K.</t>
  </si>
  <si>
    <t>Monongahela River Valley (W. Va. and Pa.) - Antiquities</t>
  </si>
  <si>
    <t>https://ebookcentral.proquest.com/lib/viva-active/detail.action?docID=438206</t>
  </si>
  <si>
    <t>Kolomoki : Settlement, Ceremony, and Status in the Deep South, A. D. 350 To 750</t>
  </si>
  <si>
    <t>Pluckhahn, Thomas J.</t>
  </si>
  <si>
    <t>Woodland culture -- Georgia. ; Excavations (Archaeology) -- Georgia. ; Kolomoki Mounds State Historic Park (Ga.)</t>
  </si>
  <si>
    <t>https://ebookcentral.proquest.com/lib/viva-active/detail.action?docID=438214</t>
  </si>
  <si>
    <t>Re-Enchanting the World : Maya Protestantism in the Guatemalan Highlands</t>
  </si>
  <si>
    <t xml:space="preserve">Samson, C. Mathews;Paredes, J.Anthony </t>
  </si>
  <si>
    <t>Mam Indians -- Religion. ; Mam Indians -- Social conditions. ; Cakchikel Indians -- Religion. ; Cakchikel Indians -- Social conditions. ; Indian Presbyterians -- Guatemala. ; Presbyterian Church -- Guatemala. ; Guatemala -- Religious life and customs.</t>
  </si>
  <si>
    <t>https://ebookcentral.proquest.com/lib/viva-active/detail.action?docID=438221</t>
  </si>
  <si>
    <t>Ancient Borinquen : Archaeology and Ethnohistory of Native Puerto Rico</t>
  </si>
  <si>
    <t>Siegel, Peter E.;Anderson-Córdova, Karen F.;Jones, John G.;Newsom, Lee A.;Pearsall, Deborah M.;Roe, Peter G.;Stokes, Anne V.;Torres, Joshua M.;Wagner, Daniel P.;Walker, Jeffrey B.</t>
  </si>
  <si>
    <t>Indians of the West Indies -- Puerto Rico -- Antiquities. ; Indians of the West Indies -- Puerto Rico -- History. ; Ethnohistory -- Puerto Rico. ; Puerto Rico -- Antiquities.</t>
  </si>
  <si>
    <t>https://ebookcentral.proquest.com/lib/viva-active/detail.action?docID=438222</t>
  </si>
  <si>
    <t>Indigenous Social Work Around the World : Towards Culturally Relevant Education and Practice</t>
  </si>
  <si>
    <t>Contemporary Social Work Studies</t>
  </si>
  <si>
    <t>Coates, John;Gray, Mel;Yellow Bird, Professor Michael;Jordan, Dr Lucy;O'Leary, Professor Patrick</t>
  </si>
  <si>
    <t>Social work with indigenous peoples. ; Social work with indigenous peoples -- Study and teaching.</t>
  </si>
  <si>
    <t>https://ebookcentral.proquest.com/lib/viva-active/detail.action?docID=438278</t>
  </si>
  <si>
    <t>Native Christians : Modes and Effects of Christianity among Indigenous Peoples of the Americas</t>
  </si>
  <si>
    <t>Vitality of Indigenous Religions Ser.</t>
  </si>
  <si>
    <t xml:space="preserve">Vilaça, Aparecida;Wright, Robin M.;Adogame, Dr. Afe;Harvey, Dr. Graham;Talamantez, Ms Ines;Talamantez, Ms Ines </t>
  </si>
  <si>
    <t>Catholic Church -- America -- History. ; Indians -- Religion. ; Indians -- Missions. ; Christianity and culture -- America -- History. ; Protestant churches -- America -- History.</t>
  </si>
  <si>
    <t>https://ebookcentral.proquest.com/lib/viva-active/detail.action?docID=438515</t>
  </si>
  <si>
    <t>Collective Creativity : Art and Society in the South Pacific</t>
  </si>
  <si>
    <t>Anthropology and Cultural History in Asia and the Indo-Pacific Ser.</t>
  </si>
  <si>
    <t>Giuffre, Katherine;Stewart, Dr Pamela J.;Strathern, Professor Andrew</t>
  </si>
  <si>
    <t>Social networks -- Oceania. ; Artists -- Oceania.</t>
  </si>
  <si>
    <t>https://ebookcentral.proquest.com/lib/viva-active/detail.action?docID=438680</t>
  </si>
  <si>
    <t>Mi'kmaq Landscapes : From Animism to Sacred Ecology</t>
  </si>
  <si>
    <t>Hornborg, Anne-Christine;Adogame, Dr Afe;Harvey, Dr Graham;Talamantez, Ms Ines</t>
  </si>
  <si>
    <t>Micmac Indians -- Government relations. ; Micmac Indians -- Religion. ; Micmac Indians -- History. ; Indigenous peoples -- Ecology -- Maritime Provinces. ; Maritime Provinces -- Environmental conditions. ; Maritime Provinces -- History.</t>
  </si>
  <si>
    <t>https://ebookcentral.proquest.com/lib/viva-active/detail.action?docID=438721</t>
  </si>
  <si>
    <t>Arrernte Present, Arrernte Past : Invasion, Violence, and Imagination in Indigenous Central Australia</t>
  </si>
  <si>
    <t>Austin-Broos, Diane J.</t>
  </si>
  <si>
    <t>Hermannsburg Lutheran Mission Station -- History. ; Aranda (Australian people) -- Missions -- Australia -- Hermannsburg Region (N.T.) ; Aranda (Australian people) -- Land tenure. ; Aranda (Australian people) -- Cultural assimilation. ; Lutherans -- Missions -- Australia -- Hermannsburg Region (N.T.) -- History. ; Land reform -- Australia -- Hermannsburg Region (N.T.) -- History. ; Hermannsburg Region (N.T.) -- Race relations.</t>
  </si>
  <si>
    <t>https://ebookcentral.proquest.com/lib/viva-active/detail.action?docID=448525</t>
  </si>
  <si>
    <t>Dictionary of Skiri Pawnee</t>
  </si>
  <si>
    <t>Studies in the Anthropology of North America</t>
  </si>
  <si>
    <t>Parks, Douglas R;Pratt, Lula Nora</t>
  </si>
  <si>
    <t>Pawnee language -- Dictionaries -- English. ; English language -- Dictionaries -- Pawnee.</t>
  </si>
  <si>
    <t>https://ebookcentral.proquest.com/lib/viva-active/detail.action?docID=452132</t>
  </si>
  <si>
    <t>Broken Treaties : United States and Canadian Relations with the Lakotas and the Plains Cree, 1868-1885</t>
  </si>
  <si>
    <t>St. Germain, Jill</t>
  </si>
  <si>
    <t>Teton Indians -- Government relations. ; Teton Indians -- History -- 19th century. ; Teton Indians -- Treaties. ; Cree Indians -- Government relations. ; Cree Indians -- History -- 19th century. ; Cree Indians -- Treaties.</t>
  </si>
  <si>
    <t>https://ebookcentral.proquest.com/lib/viva-active/detail.action?docID=452190</t>
  </si>
  <si>
    <t>The Monacan Indian Nation of Virginia : The Drums of Life</t>
  </si>
  <si>
    <t>Whitlock, Rosemary Clark;Blumer, Thomas John;Paredes, J. Anthony</t>
  </si>
  <si>
    <t>Monacan Indians -- Virginia -- Amherst County -- Interviews. ; Monacan Indians -- Virginia -- Amherst County -- Social conditions. ; Monacan Indians -- Virginia -- Amherst County -- Government relations. ; Amherst County (Va.) -- Race relations. ; Amherst County (Va.) -- Ethnic relations.</t>
  </si>
  <si>
    <t>https://ebookcentral.proquest.com/lib/viva-active/detail.action?docID=454466</t>
  </si>
  <si>
    <t>Crossing the Borders : New Methods and Techniques in the Study of Archaeological Materials from the Caribbean</t>
  </si>
  <si>
    <t>Caribbean Archaeology and Ethnohistory Ser.</t>
  </si>
  <si>
    <t>Hofman, Corinne L.;Hoogland, Menno L. P.;Berard, Benoit;Booden, Mathijs A.;Briels, Iris;Calderon, Fernando Luna;Cooper, Jago;Coppa, Alfredo;Cucina, Andrea;Davies, Gareth R.</t>
  </si>
  <si>
    <t>Indians of the West Indies -- Antiquities -- Congresses. ; Excavations (Archaeology) -- West Indies -- Congresses. ; Archaeology -- West Indies -- Methodology -- Congresses. ; West Indies -- Antiquities -- Congresses.</t>
  </si>
  <si>
    <t>https://ebookcentral.proquest.com/lib/viva-active/detail.action?docID=454472</t>
  </si>
  <si>
    <t>Talking Taino : Caribbean Natural History from a Native Perspective</t>
  </si>
  <si>
    <t>Keegan, William F.;Carlson, Lisabeth A.;Curet, L. Antonio</t>
  </si>
  <si>
    <t>Taino Indians - First contact with Europeans</t>
  </si>
  <si>
    <t>https://ebookcentral.proquest.com/lib/viva-active/detail.action?docID=454476</t>
  </si>
  <si>
    <t>Time's River : Archaeological Syntheses from the Lower Mississippi Valley</t>
  </si>
  <si>
    <t>Rafferty, Janet;Peacock, Evan;Neff, Hector;Brown, Ian W.;Bruce, Kevin L.;Carr, Philip J.;Dunnell, Robert C.;Galaty, Michael L.;Hogue, S. Homes;Jackson, H. Edwin</t>
  </si>
  <si>
    <t>Archaeology -- Lower Mississippi River Valley. ; Excavations (Archaeology) -- Lower Mississippi River Valley. ; Prehistoric peoples -- Lower Mississippi River Valley. ; Indians of North America -- Lower Mississippi River Valley -- Antiquities. ; Lower Mississippi River Valley -- Antiquities. ; Interstate 69 -- Antiquities. ; Lower Mississippi River Valley -- History.</t>
  </si>
  <si>
    <t>https://ebookcentral.proquest.com/lib/viva-active/detail.action?docID=454492</t>
  </si>
  <si>
    <t>Pre-Columbian Jamaica</t>
  </si>
  <si>
    <t xml:space="preserve">Allsworth-Jones, Phillip;Curet, L. Antonio </t>
  </si>
  <si>
    <t>Indians of the West Indies -- Jamaica. ; Excavations (Archaeology) -- Jamaica. ; Jamaica -- Antiquities.</t>
  </si>
  <si>
    <t>https://ebookcentral.proquest.com/lib/viva-active/detail.action?docID=454501</t>
  </si>
  <si>
    <t>Public Indians, Private Cherokees : Tourism and Tradition on Tribal Ground</t>
  </si>
  <si>
    <t xml:space="preserve">Beard-Moose, Christina Taylor;Paredes, J.Anthony </t>
  </si>
  <si>
    <t>Culture and tourism - North Carolina</t>
  </si>
  <si>
    <t>https://ebookcentral.proquest.com/lib/viva-active/detail.action?docID=454507</t>
  </si>
  <si>
    <t>The Westo Indians : Slave Traders of the Early Colonial South</t>
  </si>
  <si>
    <t>Bowne, Eric E.</t>
  </si>
  <si>
    <t>Yuchi Indians - Migrations</t>
  </si>
  <si>
    <t>https://ebookcentral.proquest.com/lib/viva-active/detail.action?docID=454517</t>
  </si>
  <si>
    <t>A History of the Osage People</t>
  </si>
  <si>
    <t>Burns, Louis F.</t>
  </si>
  <si>
    <t>Osage Indians -- History.</t>
  </si>
  <si>
    <t>https://ebookcentral.proquest.com/lib/viva-active/detail.action?docID=454524</t>
  </si>
  <si>
    <t>Signs of Power : The Rise of Cultural Complexity in the Southeast</t>
  </si>
  <si>
    <t>Gibson, Jon L.;Carr, Philip J.;Anderson, David G.;Brookes, Samuel O.;Campbell, Janice;Clark, John A.;Heckenberger, Michael;Jefferies, Richard;Milner, George R.;Morehead, James R.</t>
  </si>
  <si>
    <t>Mounds -- Southern States. ; Indians of North America -- Southern States -- Antiquities. ; Southern States -- Antiquities.</t>
  </si>
  <si>
    <t>https://ebookcentral.proquest.com/lib/viva-active/detail.action?docID=454546</t>
  </si>
  <si>
    <t>Architectural Variability in the Southeast</t>
  </si>
  <si>
    <t>Lacquement, Cameron H.;Blanton, Dennis B.;Brennan, Tamira K.;Gougeon, Ramie A.;Gresham, Thomas H.;Lafferty, Robert H., III;McConaughy, Mark A.;Reed, Nelson A.;Scott, Robert J.;Sullivan, Lynne P.</t>
  </si>
  <si>
    <t>Architecture; History</t>
  </si>
  <si>
    <t>Mississippian culture -- Southern States -- Congresses. ; Indians of North America -- Dwellings -- Southern States -- Congresses. ; Indians of North America -- Southern States -- Antiquities -- Congresses. ; Southern States -- Antiquities -- Congresses.</t>
  </si>
  <si>
    <t>https://ebookcentral.proquest.com/lib/viva-active/detail.action?docID=454564</t>
  </si>
  <si>
    <t>Looking for Lost Lore : Studies in Folklore, Ethnology, and Iconography</t>
  </si>
  <si>
    <t>Social structure - North America</t>
  </si>
  <si>
    <t>https://ebookcentral.proquest.com/lib/viva-active/detail.action?docID=454565</t>
  </si>
  <si>
    <t>Making Pictures in Stone : American Indian Rock Art of the Northeast</t>
  </si>
  <si>
    <t>Lenik, Edward J.</t>
  </si>
  <si>
    <t>History; Fine Arts</t>
  </si>
  <si>
    <t>Picture-writing - Northeastern States</t>
  </si>
  <si>
    <t>https://ebookcentral.proquest.com/lib/viva-active/detail.action?docID=454567</t>
  </si>
  <si>
    <t>The Deadly Politics of Giving : Exchange and Violence at Ajacan, Roanoke, and Jamestown</t>
  </si>
  <si>
    <t>Mallios, Seth</t>
  </si>
  <si>
    <t>Ceremonial exchange - South Atlantic States</t>
  </si>
  <si>
    <t>https://ebookcentral.proquest.com/lib/viva-active/detail.action?docID=454568</t>
  </si>
  <si>
    <t>The Land Has Memory : Indigenous Knowledge, Native Landscapes, and the National Museum of the American Indian</t>
  </si>
  <si>
    <t>University of North Carolina Press</t>
  </si>
  <si>
    <t>Blue Spruce, Duane;Thrasher, Tanya</t>
  </si>
  <si>
    <t>National Museum of the American Indian (U.S.) -- Buildings -- Pictorial works. ; Indians of North America -- Ethnobotany -- Washington (D.C.) -- Pictorial works. ; Ethnobotany -- Washington (D.C.) -- Pictorial works. ; Landscape gardening -- Washington (D.C.) -- Pictorial works.</t>
  </si>
  <si>
    <t>https://ebookcentral.proquest.com/lib/viva-active/detail.action?docID=454803</t>
  </si>
  <si>
    <t>We Have a Religion : The 1920s Pueblo Indian Dance Controversy and American Religious Freedom</t>
  </si>
  <si>
    <t>Wenger, Tisa</t>
  </si>
  <si>
    <t>Pueblo dance. ; Pueblo Indians -- Religion. ; Pueblo Indians -- Rites and ceremonies. ; Christianity and culture -- Southwest, New. ; Christianity and other religions -- Southwest, New. ; Racism -- Religious aspects -- Christianity. ; Religious tolerance -- Southwest, New.</t>
  </si>
  <si>
    <t>https://ebookcentral.proquest.com/lib/viva-active/detail.action?docID=454843</t>
  </si>
  <si>
    <t>Science, Colonialism, and Indigenous Peoples : The Cultural Politics of Law and Knowledge</t>
  </si>
  <si>
    <t>Whitt, Laurelyn</t>
  </si>
  <si>
    <t>Traditional ecological knowledge - Law and legislation</t>
  </si>
  <si>
    <t>https://ebookcentral.proquest.com/lib/viva-active/detail.action?docID=461190</t>
  </si>
  <si>
    <t>Cultural Diversity, Heritage and Human Rights : Intersections in Theory and Practice</t>
  </si>
  <si>
    <t>Key Issues in Cultural Heritage Ser.</t>
  </si>
  <si>
    <t>Langfield, Michele;Logan, William;Craith, Máiréad Nic</t>
  </si>
  <si>
    <t>Human rights. ; Multiculturalism. ; Indigenous peoples -- Civil rights. ; Cultural property. ; Culture conflict.</t>
  </si>
  <si>
    <t>https://ebookcentral.proquest.com/lib/viva-active/detail.action?docID=465321</t>
  </si>
  <si>
    <t>Collecting Cultures : Myth, Politics, and Collaboration in the 1948 Arnhem Land Expedition</t>
  </si>
  <si>
    <t>AltaMira Press</t>
  </si>
  <si>
    <t>Indigenous Archaeologies Series</t>
  </si>
  <si>
    <t>May, Sally K.</t>
  </si>
  <si>
    <t>History; Geography/Travel</t>
  </si>
  <si>
    <t>Arnhem Land (N.T.) - Discovery and exploration</t>
  </si>
  <si>
    <t>https://ebookcentral.proquest.com/lib/viva-active/detail.action?docID=467169</t>
  </si>
  <si>
    <t>In the Forest : Visual and Material Worlds of Andamanese History (1858-2006)</t>
  </si>
  <si>
    <t>UPA</t>
  </si>
  <si>
    <t>Pandya, Vishvajit</t>
  </si>
  <si>
    <t>Ethnology - India - Andaman and Nicobar Islands</t>
  </si>
  <si>
    <t>https://ebookcentral.proquest.com/lib/viva-active/detail.action?docID=467272</t>
  </si>
  <si>
    <t>Chiefdoms and Other Archaeological Delusions</t>
  </si>
  <si>
    <t>Issues in Eastern Woodlands Archaeology</t>
  </si>
  <si>
    <t>Pauketat, Timothy R.</t>
  </si>
  <si>
    <t>Mississippian culture -- East (U.S.) ; Indians of North America -- East (U.S.) -- Politics and government. ; Chiefdoms -- East (U.S.) -- History. ; East (U.S.) -- Antiquities.</t>
  </si>
  <si>
    <t>https://ebookcentral.proquest.com/lib/viva-active/detail.action?docID=467280</t>
  </si>
  <si>
    <t>Ancestors and Elites : Emergent Complexity and Ritual Practices in the Casas Grandes Polity</t>
  </si>
  <si>
    <t>Archaeology of Religion</t>
  </si>
  <si>
    <t>Rakita, Gordon F. M.</t>
  </si>
  <si>
    <t>Indians of Mexico -</t>
  </si>
  <si>
    <t>https://ebookcentral.proquest.com/lib/viva-active/detail.action?docID=467320</t>
  </si>
  <si>
    <t>Reflections on Blaxploitation : Actors and Directors Speak</t>
  </si>
  <si>
    <t>Scarecrow Press</t>
  </si>
  <si>
    <t>Walker, David;Rausch, Andrew J.;Watson, Chris</t>
  </si>
  <si>
    <t>Blaxploitation films - United States - History and criticism</t>
  </si>
  <si>
    <t>https://ebookcentral.proquest.com/lib/viva-active/detail.action?docID=467504</t>
  </si>
  <si>
    <t>Himalayan Tribal Tales : Oral Tradition and Culture in the Apatani Valley</t>
  </si>
  <si>
    <t>BRILL</t>
  </si>
  <si>
    <t>Tribal Cultures in the Eastern Himalayas Ser.</t>
  </si>
  <si>
    <t>Blackburn, Stuart H.</t>
  </si>
  <si>
    <t>Apatani (Indic people) -- Folklore. ; Apatani (Indic people) -- Social life and customs. ; Tales -- India -- Arunachal Pradesh. ; Oral tradition -- India -- Arunachal Pradesh. ; Arunachal Pradesh (India) -- Social life and customs.</t>
  </si>
  <si>
    <t>https://ebookcentral.proquest.com/lib/viva-active/detail.action?docID=467938</t>
  </si>
  <si>
    <t>Property Rights, Indigenous People and the Developing World : Issues from Aboriginal Entitlement to Intellectual Ownership Rights</t>
  </si>
  <si>
    <t>Lea, David</t>
  </si>
  <si>
    <t>Indigenous peoples -- Legal status, laws, etc. ; Right of property. ; Land titles. ; Intellectual property (International law)</t>
  </si>
  <si>
    <t>https://ebookcentral.proquest.com/lib/viva-active/detail.action?docID=468225</t>
  </si>
  <si>
    <t>Survival by Hunting : Prehistoric Human Predators and Animal Prey</t>
  </si>
  <si>
    <t>Frison, George</t>
  </si>
  <si>
    <t>Hunting, Prehistoric. ; Paleo-Indians -- Hunting. ; Hunting and gathering societies.</t>
  </si>
  <si>
    <t>https://ebookcentral.proquest.com/lib/viva-active/detail.action?docID=470838</t>
  </si>
  <si>
    <t>First Peoples in a New World : Colonizing Ice Age America</t>
  </si>
  <si>
    <t>Paleo-Indians - North America</t>
  </si>
  <si>
    <t>https://ebookcentral.proquest.com/lib/viva-active/detail.action?docID=470958</t>
  </si>
  <si>
    <t>Keeping the Campfires Going : Native Women's Activism in Urban Communities</t>
  </si>
  <si>
    <t>Krouse, Susan A;Howard, Heather A.</t>
  </si>
  <si>
    <t>Indian women -- Political activity -- United States -- History -- 20th century. ; Indian women -- Political activity -- Canada -- History -- 20th century. ; Women political activists -- United States -- History -- 20th century. ; Women political activists -- Canada -- History -- 20th century. ; Community life -- United States -- History -- 20th century. ; Community life -- Canada -- History -- 20th century. ; City and town life -- United States -- History -- 20th century.</t>
  </si>
  <si>
    <t>https://ebookcentral.proquest.com/lib/viva-active/detail.action?docID=471720</t>
  </si>
  <si>
    <t>Seeking Recognition : The Termination and Restoration of the Coos, Lower Umpqua, and Siuslaw Indians, 1855-1984</t>
  </si>
  <si>
    <t>Beck, David R</t>
  </si>
  <si>
    <t>Coos Indians -- Government relations. ; Umpqua Indians -- Government relations. ; Siuslaw Indians -- Government relations. ; Indian termination policy -- Oregon. ; Coos Indians -- Claims. ; Umpqua Indians -- Claims. ; Siuslaw Indians -- Claims.</t>
  </si>
  <si>
    <t>https://ebookcentral.proquest.com/lib/viva-active/detail.action?docID=471726</t>
  </si>
  <si>
    <t>Skylark Meets Meadowlark : Reimagining the Bird in British Romantic and Contemporary Native American Literature</t>
  </si>
  <si>
    <t>Gannon, Thomas C</t>
  </si>
  <si>
    <t>English poetry -- 19th century -- History and criticism. ; Birds in literature. ; American literature -- 21st century -- History and criticism. ; American literature -- Indian authors -- History and criticism. ; Romanticism -- Great Britain.</t>
  </si>
  <si>
    <t>https://ebookcentral.proquest.com/lib/viva-active/detail.action?docID=471735</t>
  </si>
  <si>
    <t>Here You Have My Story : Eyewitness Accounts of the Nineteenth-Century Central Plains</t>
  </si>
  <si>
    <t>Jensen, Richard E</t>
  </si>
  <si>
    <t>Frontier and pioneer life -- Nebraska -- Sources. ; Land settlement -- Nebraska -- History -- Sources. ; Indians of North America -- Nebraska -- History -- 19th century -- Sources. ; Frontier and pioneer life -- Great Plains -- Sources. ; Land settlement -- Great Plains -- History -- Sources. ; Indians of North America -- Great Plains -- History -- Sources. ; Nebraska -- History -- 19th century -- Sources.</t>
  </si>
  <si>
    <t>https://ebookcentral.proquest.com/lib/viva-active/detail.action?docID=471739</t>
  </si>
  <si>
    <t>Delaware Tribe in a Cherokee Nation</t>
  </si>
  <si>
    <t>Obermeyer, Brice</t>
  </si>
  <si>
    <t>Delaware Indians -- Oklahoma -- Politics and government. ; Delaware Indians -- Relocation. ; Delaware Indians -- Government relations. ; Self-determination, National -- Oklahoma. ; Cherokee Indians -- Oklahoma -- Politics and government. ; Ethnology -- Oklahoma. ; Oklahoma -- Ethnic relations.</t>
  </si>
  <si>
    <t>https://ebookcentral.proquest.com/lib/viva-active/detail.action?docID=471744</t>
  </si>
  <si>
    <t>Texture of Contact : European and Indian Settler Communities on the Frontiers of Iroquoia, 1667-1783</t>
  </si>
  <si>
    <t>The Iroquoians and Their World</t>
  </si>
  <si>
    <t>Preston, David L</t>
  </si>
  <si>
    <t>Iroquois Indians -- Government relations. ; Iroquois Indians -- History -- 18th century. ; Iroquois Indians -- History -- 17th century. ; Iroquois Indians -- Canada -- History -- 18th century. ; Iroquois Indians -- Canada -- History -- 17th century. ; Frontier and pioneer life -- United States. ; Frontier and pioneer life -- Canada.</t>
  </si>
  <si>
    <t>https://ebookcentral.proquest.com/lib/viva-active/detail.action?docID=471748</t>
  </si>
  <si>
    <t>Native Liberty : Natural Reason and Cultural Survivance</t>
  </si>
  <si>
    <t>Vizenor, Gerald</t>
  </si>
  <si>
    <t>American literature -- Indian authors -- History and criticism. ; Indians in literature. ; Indians of North America -- Ethnic identity. ; Indians of North America -- Intellectual life.</t>
  </si>
  <si>
    <t>https://ebookcentral.proquest.com/lib/viva-active/detail.action?docID=471755</t>
  </si>
  <si>
    <t>Peaceable Kingdom Lost : The Paxton Boys and the Destruction of William Penn's Holy Experiment</t>
  </si>
  <si>
    <t>Kenny, Kevin;Kenny, Kevin</t>
  </si>
  <si>
    <t>Penn, William, -- 1644-1718 -- Philosophy. ; Paxton Boys. ; Vigilantes -- Pennsylvania -- History -- 18th century. ; Indians of North America -- Pennsylvania -- History -- 18th century. ; Culture conflict -- Pennsylvania -- History. ; Pennsylvania -- History -- Colonial period, ca. 1600-1775. ; Pennsylvania -- Race relations -- History -- 18th century.</t>
  </si>
  <si>
    <t>https://ebookcentral.proquest.com/lib/viva-active/detail.action?docID=472072</t>
  </si>
  <si>
    <t>Broken Landscape : Indians, Indian Tribes, and the Constitution</t>
  </si>
  <si>
    <t>Pommersheim, Frank</t>
  </si>
  <si>
    <t>United States. -- Supreme Court -- History. ; Indians of North America -- Legal status, laws, etc. -- History. ; Constitutional history -- United States. ; Indians of North America -- Government relations. ; Indians of North America -- Politics and government. ; Indians of North America -- Civil rights -- History. ; Tribal government -- United States.</t>
  </si>
  <si>
    <t>https://ebookcentral.proquest.com/lib/viva-active/detail.action?docID=472077</t>
  </si>
  <si>
    <t>Wild Men : Ishi and Kroeber in the Wilderness of Modern America</t>
  </si>
  <si>
    <t>New Narratives in American History Ser.</t>
  </si>
  <si>
    <t>Sackman, Douglas Cazaux</t>
  </si>
  <si>
    <t>Ishi, -- d. 1916. ; Kroeber, A. L. -- (Alfred Louis), -- 1876-1960. ; Kroeber, A. L. -- (Alfred Louis), -- 1876-1960 -- Relations with Yana Indians. ; Yana Indians -- Biography. ; Anthropologists -- United States -- Biography.</t>
  </si>
  <si>
    <t>https://ebookcentral.proquest.com/lib/viva-active/detail.action?docID=472367</t>
  </si>
  <si>
    <t>500 Years of Indigenous Resistance</t>
  </si>
  <si>
    <t>PM Press</t>
  </si>
  <si>
    <t>Hill, Gord</t>
  </si>
  <si>
    <t>Indigenous peoples -- America -- History. ; Insurgency -- America -- History. ; Indigenous peoples -- America -- Government relations. ; America -- Colonization -- History. ; America -- History.</t>
  </si>
  <si>
    <t>https://ebookcentral.proquest.com/lib/viva-active/detail.action?docID=473750</t>
  </si>
  <si>
    <t>The Juan Pardo Expeditions : Exploration of the Carolinas and Tennessee, 1566-1568</t>
  </si>
  <si>
    <t>Beck, Robin A.;Hoffman, Paul;Moore, David G.;Rodning, Christopher B.;Hudson, Charles</t>
  </si>
  <si>
    <t>Pardo, Juan, -- 16th cent. ; Catawba Indians -- History -- 16th century. ; Explorers -- Southern States -- Biography. ; America -- Discovery and exploration -- Spanish. ; Southern States -- History.</t>
  </si>
  <si>
    <t>https://ebookcentral.proquest.com/lib/viva-active/detail.action?docID=475217</t>
  </si>
  <si>
    <t>Under the Rattlesnake : Cherokee Health and Resiliency</t>
  </si>
  <si>
    <t xml:space="preserve">Lefler, Lisa J.;Altman, Heidi M.;Belt, Roseanna;Belt, Tom;Cozzo, David;Fox, Susan Leading;Hamilton, Michelle D.;James, Jenny;Townsend, Russell;Lefler, Lisa J. </t>
  </si>
  <si>
    <t>Medicine; Health; Social Science</t>
  </si>
  <si>
    <t>Indians of North America - Health and hygiene</t>
  </si>
  <si>
    <t>https://ebookcentral.proquest.com/lib/viva-active/detail.action?docID=475219</t>
  </si>
  <si>
    <t>Louisiana Place Names of Indian Origin : A Collection of Words</t>
  </si>
  <si>
    <t>Alabama Fire Ant Ser.</t>
  </si>
  <si>
    <t>Read, William A.;Riser, George</t>
  </si>
  <si>
    <t>Names, Geographical - Louisiana</t>
  </si>
  <si>
    <t>https://ebookcentral.proquest.com/lib/viva-active/detail.action?docID=475225</t>
  </si>
  <si>
    <t>The Americas That Might Have Been : Native American Social Systems Through Time</t>
  </si>
  <si>
    <t>Granberry, Julian</t>
  </si>
  <si>
    <t>Indians -- First contact with Europeans. ; Indians -- Transatlantic influences. ; Indians -- Colonization. ; America -- Discovery and exploration. ; America -- Colonization. ; Europe -- Colonies -- America.</t>
  </si>
  <si>
    <t>https://ebookcentral.proquest.com/lib/viva-active/detail.action?docID=475232</t>
  </si>
  <si>
    <t>Foraging in the Tennessee River Valley : 12,500 to 8,000 Years Ago</t>
  </si>
  <si>
    <t>Hollenbach, Kandace D.</t>
  </si>
  <si>
    <t>Tennessee River Valley - Antiquities</t>
  </si>
  <si>
    <t>https://ebookcentral.proquest.com/lib/viva-active/detail.action?docID=475234</t>
  </si>
  <si>
    <t>Developing Dialogues : Indigenous and Ethnic Community Broadcasting in Australia</t>
  </si>
  <si>
    <t>Intellect Books Ltd</t>
  </si>
  <si>
    <t>Forde, Susan;Meadows, Michael;Foxwell, Kerrie</t>
  </si>
  <si>
    <t>Journalism; Fine Arts</t>
  </si>
  <si>
    <t>Ethnic radio broadcasting -- Australia. ; Ethnic television broadcasting -- Australia.</t>
  </si>
  <si>
    <t>https://ebookcentral.proquest.com/lib/viva-active/detail.action?docID=475764</t>
  </si>
  <si>
    <t>Every Day Is a Good Day : Reflections by Contemporary Indigenous Women</t>
  </si>
  <si>
    <t>Fulcrum Publishing</t>
  </si>
  <si>
    <t>Mankiller, Wilma;Steinem, Gloria;Steinem, Gloria</t>
  </si>
  <si>
    <t>Indian women -- Psychology. ; Indian women -- Social conditions. ; Indian women -- Biography. ; Indian philosophy.</t>
  </si>
  <si>
    <t>https://ebookcentral.proquest.com/lib/viva-active/detail.action?docID=478315</t>
  </si>
  <si>
    <t>The Utes Must Go! : American Expansion and the Removal of a People</t>
  </si>
  <si>
    <t>Decker, Peter</t>
  </si>
  <si>
    <t>United States. -- Office of Indian Affairs. -- White River Agency (Colo.) -- History. ; White River Massacre, Colo., 1879. ; Ute Indians -- Wars, 1879. ; Ute Indians -- Relocation -- Colorado -- Ute Indian Reservation. ; Ute Indian Reservation (Colo.) -- History.</t>
  </si>
  <si>
    <t>https://ebookcentral.proquest.com/lib/viva-active/detail.action?docID=478517</t>
  </si>
  <si>
    <t>Cartographic Encounters : Indigenous Peoples and the Exploration of the New World</t>
  </si>
  <si>
    <t>Reaktion Books, Limited</t>
  </si>
  <si>
    <t>Short, John Rennie</t>
  </si>
  <si>
    <t>Cartography -- West (U.S.) -- History -- 19th century. ; Indian cartography -- West (U.S.) -- History -- 19th century. ; Indians of North America -- First contact with Europeans -- West (U.S.) ; West (U.S.) -- Discovery and exploration.</t>
  </si>
  <si>
    <t>https://ebookcentral.proquest.com/lib/viva-active/detail.action?docID=480989</t>
  </si>
  <si>
    <t>Partible Paternity and Anthropological Theory : The Construction of an Ethnographic Fantasy</t>
  </si>
  <si>
    <t>Shapiro, Warren</t>
  </si>
  <si>
    <t>Kinship. ; Primitive societies.</t>
  </si>
  <si>
    <t>https://ebookcentral.proquest.com/lib/viva-active/detail.action?docID=483889</t>
  </si>
  <si>
    <t>Navajo Courts and Navajo Common Law : A Tradition of Tribal Self-Governance</t>
  </si>
  <si>
    <t>Austin, Raymond D;Williams, Robert A.</t>
  </si>
  <si>
    <t>Navajo courts. ; Navajo law. ; Navajo Indians -- Social life and customs.</t>
  </si>
  <si>
    <t>https://ebookcentral.proquest.com/lib/viva-active/detail.action?docID=485437</t>
  </si>
  <si>
    <t>Indigenous Citizens : Local Liberalism in Early National Oaxaca and Yucatán</t>
  </si>
  <si>
    <t>Stanford University Press</t>
  </si>
  <si>
    <t>Caplan, Karen D.</t>
  </si>
  <si>
    <t>Indians of Mexico -- Mexico -- Oaxaca (State) -- Government relations. ; Indians of Mexico -- Mexico -- Yucatán (State) -- Government relations. ; Liberalism -- Mexico -- Oaxaca (State) -- History -- 19th century. ; Liberalism -- Mexico -- Yucatán (State) -- History -- 19th century. ; Local government -- Mexico -- Oaxaca (State) -- History -- 19th century. ; Local government -- Mexico -- Yucatán (State) -- History -- 19th century.</t>
  </si>
  <si>
    <t>https://ebookcentral.proquest.com/lib/viva-active/detail.action?docID=487962</t>
  </si>
  <si>
    <t>Zapatistas : Rebellion from the Grassroots to the Global</t>
  </si>
  <si>
    <t>Zed Books</t>
  </si>
  <si>
    <t>Rebels</t>
  </si>
  <si>
    <t>Khasnabish, Doctor Alex</t>
  </si>
  <si>
    <t>Ejército Zapatista de Liberación Nacional (Mexico) -- History. ; Indians of Mexico -- Mexico -- Chiapas -- Social conditions -- 20th century. ; Social movements -- Mexico -- Chiapas -- History -- 20th century. ; Chiapas (Mexico) -- History -- Peasant Uprising, 1994-</t>
  </si>
  <si>
    <t>https://ebookcentral.proquest.com/lib/viva-active/detail.action?docID=488158</t>
  </si>
  <si>
    <t>American Indian and African American People, Communities, and Interactions : An Annotated Bibliography</t>
  </si>
  <si>
    <t>ABC-CLIO</t>
  </si>
  <si>
    <t>Bibliographies and Indexes in American History</t>
  </si>
  <si>
    <t>Bier, Lisa</t>
  </si>
  <si>
    <t>General Works/Reference</t>
  </si>
  <si>
    <t>Educación Superior. -- Congresos. -- Cuba. ; Educacion Superior. -- Congresos. -- Cuba. ; Higher education. -- Congresses. -- Cuba. ; Libros electronicos.</t>
  </si>
  <si>
    <t>https://ebookcentral.proquest.com/lib/viva-active/detail.action?docID=491656</t>
  </si>
  <si>
    <t>The Frontier Newspapers and the Coverage of the Plains Indian Wars</t>
  </si>
  <si>
    <t>Native America: Yesterday and Today Ser.</t>
  </si>
  <si>
    <t>Reilly, Hugh J.</t>
  </si>
  <si>
    <t>Indians of North America -- Wars -- 1866-1895 -- Press coverage. ; Indians of North America -- Wars -- Press coverage -- Great Plains. ; Newspapers -- Great Plains -- History -- 19th century. ; Great Plains -- History -- 19th century.</t>
  </si>
  <si>
    <t>https://ebookcentral.proquest.com/lib/viva-active/detail.action?docID=492256</t>
  </si>
  <si>
    <t>American Indian Chronology : Chronologies of the American Mosaic</t>
  </si>
  <si>
    <t>Non-Series</t>
  </si>
  <si>
    <t>White, Phillip</t>
  </si>
  <si>
    <t>Indians of North America -- History -- Chronology.</t>
  </si>
  <si>
    <t>https://ebookcentral.proquest.com/lib/viva-active/detail.action?docID=492483</t>
  </si>
  <si>
    <t>Fast Runner : Filming the Legend of Atanarjuat</t>
  </si>
  <si>
    <t>Indigenous Films</t>
  </si>
  <si>
    <t>Evans, Michael R</t>
  </si>
  <si>
    <t>Atanarjuat (Motion picture) ; Motion pictures.</t>
  </si>
  <si>
    <t>https://ebookcentral.proquest.com/lib/viva-active/detail.action?docID=496571</t>
  </si>
  <si>
    <t>Networked Wilderness : Communicating in Early New England</t>
  </si>
  <si>
    <t>Cohen, Matt</t>
  </si>
  <si>
    <t>Communication -- United States -- History -- 17th century. ; Communication -- New England -- History -- 17th century. ; Literacy -- New England -- History -- 17th century. ; Books and reading -- New England -- History -- 17th century. ; Indians of North America -- Communication.</t>
  </si>
  <si>
    <t>https://ebookcentral.proquest.com/lib/viva-active/detail.action?docID=496589</t>
  </si>
  <si>
    <t>The Native Speaker Concept : Ethnographic Investigations of Native Speaker Effects</t>
  </si>
  <si>
    <t>Language, Power and Social Process [LPSP] Ser.</t>
  </si>
  <si>
    <t>Doerr, Neriko Musha</t>
  </si>
  <si>
    <t>Social Science; Language/Linguistics</t>
  </si>
  <si>
    <t>Native language. ; Multilingualism. ; Sociolinguistics.</t>
  </si>
  <si>
    <t>https://ebookcentral.proquest.com/lib/viva-active/detail.action?docID=511865</t>
  </si>
  <si>
    <t>Native American Place Names in Mississippi</t>
  </si>
  <si>
    <t>University Press of Mississippi</t>
  </si>
  <si>
    <t>Baca, Keith A</t>
  </si>
  <si>
    <t>Names, Indian -- Mississippi. ; Names, Geographical -- Mississippi. ; Mississippi -- Name.</t>
  </si>
  <si>
    <t>https://ebookcentral.proquest.com/lib/viva-active/detail.action?docID=515559</t>
  </si>
  <si>
    <t>Natchez Indians : A History to 1735</t>
  </si>
  <si>
    <t>Barnett, James F</t>
  </si>
  <si>
    <t>Natchez Indians -- First contact with Europeans. ; Natchez Indians -- Government relations. ; Natchez Indians -- Wars, 1716.</t>
  </si>
  <si>
    <t>https://ebookcentral.proquest.com/lib/viva-active/detail.action?docID=515562</t>
  </si>
  <si>
    <t>Black Rock : A Zuni Cultural Landscape and the Meaning of Place</t>
  </si>
  <si>
    <t>Dodge, William A</t>
  </si>
  <si>
    <t>Zuni Indians -- New Mexico -- Black Rock -- Social life and customs. ; Geographical perception -- New Mexico -- Black Rock. ; Landscape assessment -- New Mexico -- Black Rock. ; Indigenous peoples -- Ecology -- New Mexico -- Black Rock. ; Black Rock (N.M.) -- History. ; Black Rock (N.M.) -- Social life and customs.</t>
  </si>
  <si>
    <t>https://ebookcentral.proquest.com/lib/viva-active/detail.action?docID=515586</t>
  </si>
  <si>
    <t>The Color of the Land : Race, Nation, and the Politics of Landownership in Oklahoma, 1832-1929</t>
  </si>
  <si>
    <t>Chang, David A.</t>
  </si>
  <si>
    <t>Creek Indians -- Land tenure -- Oklahoma -- History. ; Creek Indians -- Oklahoma -- Ethnic identity. ; Allotment of land -- Oklahoma -- History. ; Land tenure -- Social aspects -- Oklahoma -- History. ; African Americans -- Land tenure -- Oklahoma -- History. ; Whites -- Land tenure -- Oklahoma -- History. ; Oklahoma -- Race relations -- History.</t>
  </si>
  <si>
    <t>https://ebookcentral.proquest.com/lib/viva-active/detail.action?docID=515681</t>
  </si>
  <si>
    <t>Ethno-Ornithology : Birds, Indigenous Peoples, Culture and Society</t>
  </si>
  <si>
    <t>Tidemann, Sonia C.;Gosler, Andrew</t>
  </si>
  <si>
    <t>Science: Zoology; Social Science; Science</t>
  </si>
  <si>
    <t>Ethnoornithology. ; Human-animal relationships.</t>
  </si>
  <si>
    <t>https://ebookcentral.proquest.com/lib/viva-active/detail.action?docID=517184</t>
  </si>
  <si>
    <t>Decentralization and Adat Revivalism in Indonesia : The Politics of Becoming Indigenous</t>
  </si>
  <si>
    <t>Rethinking Southeast Asia Ser.</t>
  </si>
  <si>
    <t>Tyson, Adam D.</t>
  </si>
  <si>
    <t>Ethnicity - Indonesia</t>
  </si>
  <si>
    <t>https://ebookcentral.proquest.com/lib/viva-active/detail.action?docID=544051</t>
  </si>
  <si>
    <t>In the Courts of the Conquerer : The 10 Worst Indian Law Cases Ever Decided</t>
  </si>
  <si>
    <t>Echo-Hawk, Walter R</t>
  </si>
  <si>
    <t>Indians of North America -- Legal status, laws, etc. -- Cases. ; Indians of North America -- Legal status, laws, etc. -- History.</t>
  </si>
  <si>
    <t>https://ebookcentral.proquest.com/lib/viva-active/detail.action?docID=547517</t>
  </si>
  <si>
    <t>The Archaeology of Ocmulgee Old Fields, Macon, Georgia</t>
  </si>
  <si>
    <t>Classics Southeast Archaeology Ser.</t>
  </si>
  <si>
    <t>Mason, Carol I.;Smith, Marvin T.;Smith, Dr Marvin T</t>
  </si>
  <si>
    <t>Indians of North America -- Georgia -- Ocmulgee National Monument -- Antiquities. ; Creek Indians -- Georgia -- Ocmulgee National Monument -- Antiquities. ; Excavations (Archaeology) -- Georgia -- Ocmulgee National Monument. ; Ocmulgee National Monument (Ga.) -- Antiquities.</t>
  </si>
  <si>
    <t>https://ebookcentral.proquest.com/lib/viva-active/detail.action?docID=547606</t>
  </si>
  <si>
    <t>Landscapes of Origin in the Americas : Creation Narratives Linking Ancient Places and Present Communities</t>
  </si>
  <si>
    <t>Christie, Jessica Joyce;Aguilar-Moreno, Manuel;Arnold, Richard;Christenson, Allen J.;Cornelius, Betty;Netherly, Patricia J.;Oakley, Christopher;Paxton, Merideth;Schaafsma, Polly;Tsosie, William B., Jr.</t>
  </si>
  <si>
    <t>Physical geography - America</t>
  </si>
  <si>
    <t>https://ebookcentral.proquest.com/lib/viva-active/detail.action?docID=547610</t>
  </si>
  <si>
    <t>The Collected Works of Benjamin Hawkins, 1796-1810</t>
  </si>
  <si>
    <t>Hawkins, Benjamin;Foster, Howard Thomas;Foster, H Thomas;Foster, Howard Thomas</t>
  </si>
  <si>
    <t>Hawkins, Benjamin, -- 1754-1816 -- Correspondence. ; Hawkins, Benjamin, -- 1754-1816 -- Diaries. ; Creek Indians -- History -- Sources. ; Indians of North America -- Government relations -- 1789-1869. ; Indian agents -- Southern States -- History -- Sources.</t>
  </si>
  <si>
    <t>https://ebookcentral.proquest.com/lib/viva-active/detail.action?docID=547612</t>
  </si>
  <si>
    <t>The Chattahoochee Chiefdoms</t>
  </si>
  <si>
    <t>Blitz, John H.;Lorenz, Karl G.</t>
  </si>
  <si>
    <t>Mississippian culture -- Chattahoochee River Valley. ; Indians of North America -- Chattahoochee River Valley -- Kings and rulers. ; Indians of North America -- Chattahoochee River Valley -- Politics and government. ; Chiefdoms -- Chattahoochee River Valley. ; Excavations (Archaeology) -- Chattahoochee River Valley. ; Chattahoochee River Valley -- Antiquities.</t>
  </si>
  <si>
    <t>https://ebookcentral.proquest.com/lib/viva-active/detail.action?docID=547617</t>
  </si>
  <si>
    <t>Speaking with the Ancestors : Mississippian Stone Statuary of the Tennessee-Cumberland Region</t>
  </si>
  <si>
    <t>Smith, Kevin E.;Miller, James V.</t>
  </si>
  <si>
    <t>Cumberland River Valley (Ky. and Tenn.) - Antiquities</t>
  </si>
  <si>
    <t>https://ebookcentral.proquest.com/lib/viva-active/detail.action?docID=547618</t>
  </si>
  <si>
    <t>The Anthropology of Florida</t>
  </si>
  <si>
    <t>Hrdlicka, Ales;Mitchem, Jeffrey M.</t>
  </si>
  <si>
    <t>Seminole Indians - Antiquities</t>
  </si>
  <si>
    <t>https://ebookcentral.proquest.com/lib/viva-active/detail.action?docID=547619</t>
  </si>
  <si>
    <t>Plains Earthlodges : Ethnographic and Archaeological Perspectives</t>
  </si>
  <si>
    <t>Roper, Donna C.;Bales, Jennifer R.;Blakeslee, Donald J.;Kvamme, Kenneth L.;Lensink, Steven C.;Liberty, Margot P.;Pauls, Elizabeth P.;Scullin, Michael;Wood, W. Raymond</t>
  </si>
  <si>
    <t>Indians of North America -- Dwellings -- Great Plains. ; Earth houses -- Great Plains -- History.</t>
  </si>
  <si>
    <t>https://ebookcentral.proquest.com/lib/viva-active/detail.action?docID=547622</t>
  </si>
  <si>
    <t>Philadelphia and the Development of Americanist Archaeology</t>
  </si>
  <si>
    <t>Aten, Lawrence E.;Conn, Steven;Danien, Elin C.;Darnell, Regna;Hinsley, Curtis M., Jr.;King, Eleanor M. .;Mathien, Frances Joan;Meltzer, David J.;Milanich, Jerald T.;Sabloff, Jeremy A.</t>
  </si>
  <si>
    <t>University of Pennsylvania. -- Museum of Archaeology and Anthropology -- History. ; Anthropology -- Pennsylvania -- Philadelphia -- History -- Congresses. ; Archaeology -- Pennsylvania -- Philadelphia -- History -- Congresses. ; Archaeologists -- Pennsylvania -- Philadelphia -- Biography -- Congresses. ; Archaeology -- United States -- History -- Congresses. ; Indians of North America -- Antiquities -- Congresses. ; Philadelphia (Pa.) -- Intellectual life -- Congresses.</t>
  </si>
  <si>
    <t>https://ebookcentral.proquest.com/lib/viva-active/detail.action?docID=547631</t>
  </si>
  <si>
    <t>Tibes : People, Power, and Ritual at the Center of the Cosmos</t>
  </si>
  <si>
    <t>Curet, L. Antonio;Stringer, Lisa M.;Castor, Andrew;Castor, Melissa J.;Crespo-Torres, Edwin;DuChemin, Geoffrey;Fluegeman, Richard H.;Grigsby, Jeffry D.;Hadden, Carla S.;LeFebvre, Michelle J.</t>
  </si>
  <si>
    <t>Social classes - Puerto Rico - Tibes (Ponce) - History</t>
  </si>
  <si>
    <t>https://ebookcentral.proquest.com/lib/viva-active/detail.action?docID=547639</t>
  </si>
  <si>
    <t>Archaeological Salvage in the Walter F. George Basin of the Chattahoochee River in Alabama</t>
  </si>
  <si>
    <t>DeJarnette, David;Historic Chattahoochee Commission, Historic Chattahoochee</t>
  </si>
  <si>
    <t>Chattahoochee River Valley - History, Local</t>
  </si>
  <si>
    <t>https://ebookcentral.proquest.com/lib/viva-active/detail.action?docID=547640</t>
  </si>
  <si>
    <t>The Rock-Art of Eastern North America : Capturing Images and Insight</t>
  </si>
  <si>
    <t>Diaz-Granados, Carol;Ahler, Steven R.;Arsenault, Daniel;Callahan, Kevin L.;Charles, Tommy;Cressler, Alan;Duncan, James R.;Edging, Richard;Faulkner, Charles H.;Hedden, Mark Hamilton</t>
  </si>
  <si>
    <t>Indians of North America -- East (U.S.) -- Antiquities. ; Petroglyphs -- East (U.S.) ; Rock paintings -- East (U.S.) ; Picture-writing -- East (U.S.) ; East (U.S.) -- Antiquities.</t>
  </si>
  <si>
    <t>https://ebookcentral.proquest.com/lib/viva-active/detail.action?docID=547642</t>
  </si>
  <si>
    <t>Woodland Potters and Archaeological Ceramics of the North Carolina Coast</t>
  </si>
  <si>
    <t>Herbert, Joseph M.</t>
  </si>
  <si>
    <t>Atlantic Coast (N.C.) - Antiquities</t>
  </si>
  <si>
    <t>https://ebookcentral.proquest.com/lib/viva-active/detail.action?docID=547653</t>
  </si>
  <si>
    <t>Holocene Hunter-Gatherers of the Lower Ohio River Valley</t>
  </si>
  <si>
    <t>Jefferies, Richard</t>
  </si>
  <si>
    <t>Social archaeology - Ohio River Valley</t>
  </si>
  <si>
    <t>https://ebookcentral.proquest.com/lib/viva-active/detail.action?docID=547655</t>
  </si>
  <si>
    <t>Cherokee Women in Crisis : Trail of Tears, Civil War, and Allotment, 1838-1907</t>
  </si>
  <si>
    <t>Johnston, Carolyn Ross</t>
  </si>
  <si>
    <t>Cherokee women -- History. ; Cherokee women -- Social conditions. ; Cherokee women -- Government relations. ; Trail of Tears, 1838-1839. ; Indians of North America -- History -- Civil War, 1861-1865. ; Indian allotments -- United States -- History.</t>
  </si>
  <si>
    <t>https://ebookcentral.proquest.com/lib/viva-active/detail.action?docID=547656</t>
  </si>
  <si>
    <t>The Search for Mabila : The Decisive Battle Between Hernando de Soto and Chief Tascalusa</t>
  </si>
  <si>
    <t>Clayton, Lawrence A.;Derry, Linda;Ethridge, Robbie;Jones, Douglas E.;Knight, Alan;Lankford, George E.;Lineback, Neal G.;Lineback, Neil G.;Murphy, Michael D.;Regnier, Amanda L.</t>
  </si>
  <si>
    <t>Excavations (Archaeology) - Alabama</t>
  </si>
  <si>
    <t>https://ebookcentral.proquest.com/lib/viva-active/detail.action?docID=547660</t>
  </si>
  <si>
    <t>Waccamaw Legacy : Contemporary Indians Fight for Survival</t>
  </si>
  <si>
    <t>Lerch, Patricia Barker</t>
  </si>
  <si>
    <t>Waccamaw Indians -- Ethnic identity. ; Waccamaw Indians -- Tribal citizenship. ; Waccamaw Indians -- Legal status, laws, etc. ; Federally recognized Indian tribes -- Southern States. ; Indian termination policy -- Southern States. ; United States -- Race relations. ; United States -- Politics and government.</t>
  </si>
  <si>
    <t>https://ebookcentral.proquest.com/lib/viva-active/detail.action?docID=547661</t>
  </si>
  <si>
    <t>Ceramics, Chronology, and Community Patterns : An Archaeological Study at Moundville</t>
  </si>
  <si>
    <t>Steponaitis, Vincas P.</t>
  </si>
  <si>
    <t>Land settlement patters, Prehistoric - Alabama - Black Warrior River Valley</t>
  </si>
  <si>
    <t>https://ebookcentral.proquest.com/lib/viva-active/detail.action?docID=547676</t>
  </si>
  <si>
    <t>Archaeology at Shiloh Indian Mounds, 1899-1999</t>
  </si>
  <si>
    <t>Welch, Paul D.</t>
  </si>
  <si>
    <t>Indians of North America -- Tennessee -- Shiloh Indian Mounds National Historic Landmark -- Antiquities. ; Mound-builders -- Tennessee -- Shiloh Indian Mounds National Historic Landmark. ; Excavations (Archaeology) -- Tennessee -- Shiloh Indian Mounds National Historic Landmark -- History. ; Shiloh Indian Mounds National Historic Landmark (Tenn.) -- Antiquities.</t>
  </si>
  <si>
    <t>https://ebookcentral.proquest.com/lib/viva-active/detail.action?docID=547681</t>
  </si>
  <si>
    <t>Osceola's Legacy</t>
  </si>
  <si>
    <t>Wickman, Patricia Riles</t>
  </si>
  <si>
    <t>Osceola - Death and burial</t>
  </si>
  <si>
    <t>https://ebookcentral.proquest.com/lib/viva-active/detail.action?docID=547682</t>
  </si>
  <si>
    <t>The Struggle for the Georgia Coast</t>
  </si>
  <si>
    <t>Worth, John E.</t>
  </si>
  <si>
    <t>Missions, Spanish -- Georgia -- History -- 17th century -- Sources. ; Spaniards -- Georgia -- History -- 17th century -- Sources. ; Indians of North America -- Georgia -- History -- 17th century -- Sources. ; Georgia -- History -- Colonial period, ca. 1600-1775 -- Sources. ; Florida -- History -- Spanish colony, 1565-1763 -- Sources.</t>
  </si>
  <si>
    <t>https://ebookcentral.proquest.com/lib/viva-active/detail.action?docID=547684</t>
  </si>
  <si>
    <t>X-Marks : Native Signatures of Assent</t>
  </si>
  <si>
    <t>Lyons, Scott Richard</t>
  </si>
  <si>
    <t>Indians of North America -- Ethnic identity. ; Indians of North America -- Cultural assimilation. ; Group identity -- United States. ; Self-determination, National -- United States. ; Identification (Psychology) ; Race awareness. ; Liminality.</t>
  </si>
  <si>
    <t>https://ebookcentral.proquest.com/lib/viva-active/detail.action?docID=548063</t>
  </si>
  <si>
    <t>Firsting and Lasting : Writing Indians out of Existence in New England</t>
  </si>
  <si>
    <t>O’Brien, Jean M.</t>
  </si>
  <si>
    <t>Indians of North America -- New England -- History -- 19th century. ; Indians of North America -- New England -- Historiography. ; New England -- History -- 19th century. ; New England -- Historiography. ; New England -- Race relations.</t>
  </si>
  <si>
    <t>https://ebookcentral.proquest.com/lib/viva-active/detail.action?docID=548068</t>
  </si>
  <si>
    <t>Captive! : David Ogden and the Iroquois</t>
  </si>
  <si>
    <t>Harpster, Jack;Stalter, Ken;Stalter, Ken</t>
  </si>
  <si>
    <t>Priest, Josiah</t>
  </si>
  <si>
    <t>https://ebookcentral.proquest.com/lib/viva-active/detail.action?docID=564032</t>
  </si>
  <si>
    <t>Creek Paths and Federal Roads : Indians, Settlers, and Slaves and the Making of the American South</t>
  </si>
  <si>
    <t>Hudson, Angela Pulley</t>
  </si>
  <si>
    <t>Creek Indians -- Land tenure -- Southern States -- History. ; Creek Indians -- Government relations. ; Creek Indians -- Relocation. ; Indian trails -- Southern States -- History. ; Roads -- Southern States -- History. ; Transportation -- Southern States -- History. ; Creek War, 1813-1814.</t>
  </si>
  <si>
    <t>https://ebookcentral.proquest.com/lib/viva-active/detail.action?docID=565693</t>
  </si>
  <si>
    <t>Lumbee Indians in the Jim Crow South : Race, Identity, and the Making of a Nation</t>
  </si>
  <si>
    <t>Lowery, Malinda Maynor;Andrew W. Mellon Foundation</t>
  </si>
  <si>
    <t>Group identity - North Carolina - Robeson County</t>
  </si>
  <si>
    <t>https://ebookcentral.proquest.com/lib/viva-active/detail.action?docID=565701</t>
  </si>
  <si>
    <t>Oregon and the Collapse of Illahee : U. S. Empire and the Transformation of an Indigenous World, 1792-1859</t>
  </si>
  <si>
    <t>Whaley, Gray H.;Andrew W. Mellon Foundation</t>
  </si>
  <si>
    <t>Indians, Treatment of - Oregon - History</t>
  </si>
  <si>
    <t>https://ebookcentral.proquest.com/lib/viva-active/detail.action?docID=565709</t>
  </si>
  <si>
    <t>The Louisiana and Arkansas Expeditions of Clarence Bloomfield Moore</t>
  </si>
  <si>
    <t>Moore, Clarence Bloomfield;Kelley, David B.;Saunders, Joe W.;Weinstein, Richard A.;Saunders, Joe W;Williams, Stephen;Weinstein, Richard A;Kelley, David B;Saunders, Joe W</t>
  </si>
  <si>
    <t>Moore, Clarence B. -- (Clarence Bloomfield), -- 1852-1936 -- Travel -- Ouachita River Valley (Ark. and La.) ; Moore, Clarence B. -- (Clarence Bloomfield), -- 1852-1936 -- Travel -- Red River Valley (Tex.-La.) ; Indians of North America -- Louisiana -- Antiquities. ; Indians of North America -- Ouachita River Valley (Ark. and La.) -- Antiquities. ; Indians of North America -- Red River Valley (Tex.-La.) -- Antiquities. ; Excavations (Archaeology) -- Ouachita River Valley (Ark. and La.) ; Excavations (Archaeology) -- Red River Valley (Tex.-La.)</t>
  </si>
  <si>
    <t>https://ebookcentral.proquest.com/lib/viva-active/detail.action?docID=565713</t>
  </si>
  <si>
    <t>Dynamics of Southwest Prehistory</t>
  </si>
  <si>
    <t>Cordell, Linda S.;Gumerman, George J.</t>
  </si>
  <si>
    <t>Indians of North America -- Southwest, New -- Antiquities. ; Excavations (Archaeology) -- Southwest, New. ; Southwest, New -- Antiquities.</t>
  </si>
  <si>
    <t>https://ebookcentral.proquest.com/lib/viva-active/detail.action?docID=565721</t>
  </si>
  <si>
    <t>Prehistoric America</t>
  </si>
  <si>
    <t>Muller, Jon;Nadaillac, Marquis De;D'Advers, N;Muller, Jon</t>
  </si>
  <si>
    <t>Indians -- Antiquities. ; America -- Antiquities.</t>
  </si>
  <si>
    <t>https://ebookcentral.proquest.com/lib/viva-active/detail.action?docID=565728</t>
  </si>
  <si>
    <t>Mound Excavations at Moundville : Architecture, Elites and Social Order</t>
  </si>
  <si>
    <t>Knight, Vernon James, Jr.;Knight, Vernon James;Scott, Susan L.</t>
  </si>
  <si>
    <t>Mississippian culture - Alabama - Moundville</t>
  </si>
  <si>
    <t>https://ebookcentral.proquest.com/lib/viva-active/detail.action?docID=565741</t>
  </si>
  <si>
    <t>Rivers of Change : Essays on Early Agriculture in Eastern North America</t>
  </si>
  <si>
    <t>Smith, Bruce D.</t>
  </si>
  <si>
    <t>History; Agriculture</t>
  </si>
  <si>
    <t>Paleo-Indians -- Agriculture. ; Paleo-Indians -- Food. ; Agriculture -- North America -- Origin. ; Agriculture, Prehistoric -- North America. ; Plant remains (Archaeology) -- North America. ; North America -- Antiquities.</t>
  </si>
  <si>
    <t>https://ebookcentral.proquest.com/lib/viva-active/detail.action?docID=565745</t>
  </si>
  <si>
    <t>The Mississippian Emergence</t>
  </si>
  <si>
    <t>Mississippian culture. ; Indians of North America -- Southern States -- Antiquities. ; Indians of North America -- Mississippi River Valley -- Antiquities. ; Mississippi River Valley -- Antiquities. ; Southern States -- Antiquities.</t>
  </si>
  <si>
    <t>https://ebookcentral.proquest.com/lib/viva-active/detail.action?docID=565746</t>
  </si>
  <si>
    <t>Biocultural Histories in la Florida : A Bioarchaeological Perspective</t>
  </si>
  <si>
    <t>Stojanowski, Christopher</t>
  </si>
  <si>
    <t>Indians of North America -- Missions -- Southern States. ; Indians of North America -- Anthropometry -- Southern States. ; Indians of North America -- Southern States -- Population. ; Missions, Spanish -- Southern States -- History. ; Ethnoarchaeology -- Southern States. ; Human remains (Archaeology) -- Southern States. ; Dental anthropology -- Southern States.</t>
  </si>
  <si>
    <t>https://ebookcentral.proquest.com/lib/viva-active/detail.action?docID=565749</t>
  </si>
  <si>
    <t>Starting from Quirpini : The Travels and Places of a Bolivian People</t>
  </si>
  <si>
    <t>Rockefeller, Stuart Alexander</t>
  </si>
  <si>
    <t>Indians of South America -- Bolivia -- Estancia Quirpini -- Ethnic identity. ; Indians of South America -- Bolivia -- Estancia Quirpini -- Economic conditions. ; Migrant labor -- Argentina -- Buenos Aires. ; Estancia Quirpini (Bolivia) -- Economic conditions. ; Estancia Quirpini (Bolivia) -- Social life and customs.</t>
  </si>
  <si>
    <t>https://ebookcentral.proquest.com/lib/viva-active/detail.action?docID=570384</t>
  </si>
  <si>
    <t>Information Structure in Indigenous Languages of the Americas : Syntactic Approaches</t>
  </si>
  <si>
    <t>Camacho, Jose;Gutiérrez-Bravo, Rodrigo;Sánchez, Liliana</t>
  </si>
  <si>
    <t>Indians of South America -- Languages -- Grammar. ; Indians of North America -- Languages -- Grammar. ; Indians of South America -- Languages. ; Indians of North America -- Languages. ; Discourse analysis. ; Language and culture.</t>
  </si>
  <si>
    <t>https://ebookcentral.proquest.com/lib/viva-active/detail.action?docID=570575</t>
  </si>
  <si>
    <t>Before the Shining Path : Politics in Rural Ayacucho, 1895-1980</t>
  </si>
  <si>
    <t>Heilman, Jaymie</t>
  </si>
  <si>
    <t>Democracy -- Peru. ; Ayacucho (Peru : Dept.) -- Politics and government -- 20th century.</t>
  </si>
  <si>
    <t>https://ebookcentral.proquest.com/lib/viva-active/detail.action?docID=584770</t>
  </si>
  <si>
    <t>Indigenous Peoples and Climate Change in Latin America and the Caribbean</t>
  </si>
  <si>
    <t>World Bank Publications</t>
  </si>
  <si>
    <t>Directions in Development</t>
  </si>
  <si>
    <t>Kronik, Jakob;Verner, Dorte</t>
  </si>
  <si>
    <t>Environmental Studies; Social Science</t>
  </si>
  <si>
    <t>Indigenous peoples -- Ecology -- Latin America. ; Indigenous peoples -- Ecology -- Caribbean Area. ; Human beings -- Climatic factors -- Latin America. ; Human beings -- Climatic factors -- Caribbean Area. ; Climatic changes -- Latin America. ; Climatic changes -- Caribbean Area. ; Latin America -- Environmental conditions.</t>
  </si>
  <si>
    <t>https://ebookcentral.proquest.com/lib/viva-active/detail.action?docID=589815</t>
  </si>
  <si>
    <t>Everything You Know about Indians Is Wrong</t>
  </si>
  <si>
    <t>Smith, Paul Chaat</t>
  </si>
  <si>
    <t>Smith, Paul Chaat. ; Indians of North America -- Cultural assimilation. ; Indians of North America -- Ethnic identity. ; Indians of North America -- Government relations -- 1934-</t>
  </si>
  <si>
    <t>https://ebookcentral.proquest.com/lib/viva-active/detail.action?docID=592800</t>
  </si>
  <si>
    <t>The Appropriation of Native American Spirituality</t>
  </si>
  <si>
    <t>Bloomsbury Publishing Plc</t>
  </si>
  <si>
    <t>Continuum Advances in Religious Studies</t>
  </si>
  <si>
    <t>Owen, Suzanne</t>
  </si>
  <si>
    <t>Indians of North America -- Religion. ; Indians of North America -- Rites and ceremonies. ; Indian philosophy. ; New Age movement. ; Spiritual life -- New Age movement.</t>
  </si>
  <si>
    <t>https://ebookcentral.proquest.com/lib/viva-active/detail.action?docID=601901</t>
  </si>
  <si>
    <t>Native Americans, Christianity, and the Reshaping of the American Religious Landscape</t>
  </si>
  <si>
    <t xml:space="preserve">Martin, Joel W.;Nicholas, Mark A.;Pesantubbee, Michelene E. </t>
  </si>
  <si>
    <t>Indians of North America -- Missions -- History. ; Indians of North America -- Religion. ; Missionaries -- United States -- History. ; Christianity and culture -- United States -- History.</t>
  </si>
  <si>
    <t>https://ebookcentral.proquest.com/lib/viva-active/detail.action?docID=605900</t>
  </si>
  <si>
    <t>Rich Indians : Native People and the Problem of Wealth in American History</t>
  </si>
  <si>
    <t>Harmon, Alexandra</t>
  </si>
  <si>
    <t>Indians of North America -- Economic conditions. ; Indians of North America -- Social conditions. ; Indians of North America -- Social life and customs. ; Rich people -- United States -- History. ; Wealth -- Social aspects -- United States -- History. ; Wealth -- Moral and ethical aspects -- United States -- History. ; Social change -- United States -- History.</t>
  </si>
  <si>
    <t>https://ebookcentral.proquest.com/lib/viva-active/detail.action?docID=605916</t>
  </si>
  <si>
    <t>The House on Diamond Hill : A Cherokee Plantation Story</t>
  </si>
  <si>
    <t>Miles, Tiya</t>
  </si>
  <si>
    <t>Vann, James, -- 1765 or 6-1809. ; Chief Vann House (Spring Place, Ga.) ; Cherokee Indians -- Georgia -- History. ; Plantations -- Georgia -- Spring Place -- History. ; Plantation life -- Georgia -- Spring Place.</t>
  </si>
  <si>
    <t>https://ebookcentral.proquest.com/lib/viva-active/detail.action?docID=605924</t>
  </si>
  <si>
    <t>Removable Type : Histories of the Book in Indian Country, 1663-1880</t>
  </si>
  <si>
    <t>Round, Phillip H.</t>
  </si>
  <si>
    <t>History; General Works/Reference</t>
  </si>
  <si>
    <t>Indians of North America -- Books and reading. ; Books and reading -- United States -- History. ; Indians of North America -- Government relations. ; Literacy -- Social aspects -- United States. ; Indians of North America -- Cultural assimilation.</t>
  </si>
  <si>
    <t>https://ebookcentral.proquest.com/lib/viva-active/detail.action?docID=605933</t>
  </si>
  <si>
    <t>The Quest for Citizenship : African American and Native American Education in Kansas, 1880-1935</t>
  </si>
  <si>
    <t>Warren, Kim Cary</t>
  </si>
  <si>
    <t>Education</t>
  </si>
  <si>
    <t>African Americans -- Education -- Kansas -- History. ; Indians of North America -- Education -- Kansas -- History. ; Racism in education -- Kansas -- History. ; Segregation in education -- Kansas -- History. ; Educational change -- Kansas -- History. ; Education and state -- Kansas -- History.</t>
  </si>
  <si>
    <t>https://ebookcentral.proquest.com/lib/viva-active/detail.action?docID=605942</t>
  </si>
  <si>
    <t>Public Justice and the Anthropology of Law</t>
  </si>
  <si>
    <t>New Departures in Anthropology</t>
  </si>
  <si>
    <t>Niezen, Ronald</t>
  </si>
  <si>
    <t>Indigenous peoples -- Legal status, laws, etc. -- Social aspects. ; Human rights -- Social aspects. ; Public opinion. ; Law and anthropology.</t>
  </si>
  <si>
    <t>https://ebookcentral.proquest.com/lib/viva-active/detail.action?docID=615795</t>
  </si>
  <si>
    <t>The Eastern Archaic, Historicized</t>
  </si>
  <si>
    <t>Sassaman, Kenneth E.</t>
  </si>
  <si>
    <t>East (U.S.) - Ethnic relations</t>
  </si>
  <si>
    <t>https://ebookcentral.proquest.com/lib/viva-active/detail.action?docID=616258</t>
  </si>
  <si>
    <t>The Scalping of the Great Sioux Nation : A Review of My Life on the Rosebud and Pine Ridge Reservations</t>
  </si>
  <si>
    <t>Hamilton Books</t>
  </si>
  <si>
    <t>Davis, Philip E.</t>
  </si>
  <si>
    <t>Dakota Indians -- History. ; Dakota Indians -- Government relations -- History -- 19th century. ; Indians, Treatment of -- North America. ; Rosebud Indian Reservation (S.D.) -- Biography. ; Pine Ridge Indian Reservation (S.D.) -- Biography.</t>
  </si>
  <si>
    <t>https://ebookcentral.proquest.com/lib/viva-active/detail.action?docID=616262</t>
  </si>
  <si>
    <t>Imagining Head-Smashed-In : Aboriginal Buffalo Hunting on the Northern Plains</t>
  </si>
  <si>
    <t>Athabasca University Press</t>
  </si>
  <si>
    <t>Brink, Jack W.</t>
  </si>
  <si>
    <t>Buffalo jump -- Alberta. ; Indians of North America -- Hunting -- Alberta. ; Indians of North America -- Hunting -- Great Plains. ; Indians of North America -- Alberta -- Antiquities. ; American bison hunting -- History. ; American bison. ; Excavations (Archaeology) -- Alberta.</t>
  </si>
  <si>
    <t>https://ebookcentral.proquest.com/lib/viva-active/detail.action?docID=617516</t>
  </si>
  <si>
    <t>The Second Creek War : Interethnic Conflict and Collusion on a Collapsing Frontier</t>
  </si>
  <si>
    <t>UNP - Nebraska</t>
  </si>
  <si>
    <t>Ellisor, John T.</t>
  </si>
  <si>
    <t>Creek War, 1836.</t>
  </si>
  <si>
    <t>https://ebookcentral.proquest.com/lib/viva-active/detail.action?docID=619230</t>
  </si>
  <si>
    <t>Deep Waters : The Textual Continuum in American Indian Literature</t>
  </si>
  <si>
    <t>Teuton, Christopher B.</t>
  </si>
  <si>
    <t>American literature -- Indian authors -- History and criticism. ; Indians in literature. ; Oral tradition in literature. ; Vision in literature. ; Indian philosophy -- United States. ; Indians of North America -- Intellectual life.</t>
  </si>
  <si>
    <t>https://ebookcentral.proquest.com/lib/viva-active/detail.action?docID=619238</t>
  </si>
  <si>
    <t>Experiential Constructions in Yucatec Maya : A typologically based analysis of a functional domain in a Mayan language</t>
  </si>
  <si>
    <t>John Benjamins Publishing Company</t>
  </si>
  <si>
    <t>Verhoeven, Elisabeth</t>
  </si>
  <si>
    <t>Maya language -- Grammar. ; Language and languages.</t>
  </si>
  <si>
    <t>https://ebookcentral.proquest.com/lib/viva-active/detail.action?docID=622543</t>
  </si>
  <si>
    <t>Motion, Transfer and Transformation : The grammar of change in Lowland Chontal</t>
  </si>
  <si>
    <t>O’Connor, Loretta</t>
  </si>
  <si>
    <t>Chontal language -- Grammar.</t>
  </si>
  <si>
    <t>https://ebookcentral.proquest.com/lib/viva-active/detail.action?docID=622872</t>
  </si>
  <si>
    <t>Noun Phrases in Creole Languages : A multi-faceted approach</t>
  </si>
  <si>
    <t>Baptista, Marlyse;Guéron, Jacqueline;Pinto, Manuela</t>
  </si>
  <si>
    <t>Creole dialects -- Noun phrase. ; Creole dialects -- Syntax.</t>
  </si>
  <si>
    <t>https://ebookcentral.proquest.com/lib/viva-active/detail.action?docID=622926</t>
  </si>
  <si>
    <t>Ergativity in Amazonia</t>
  </si>
  <si>
    <t xml:space="preserve">Gildea, Spike;Queixalós, Francesc;Queixalos, Francesc </t>
  </si>
  <si>
    <t>Grammar, Comparative and general -- Ergative constructions. ; Indians of South America -- Amazon River Region -- Languages.</t>
  </si>
  <si>
    <t>https://ebookcentral.proquest.com/lib/viva-active/detail.action?docID=623348</t>
  </si>
  <si>
    <t>Morphology and Syntax of Topic and Focus : Minimalist inquiries in the Quechua periphery</t>
  </si>
  <si>
    <t>Sánchez, Liliana</t>
  </si>
  <si>
    <t>Nantucket (Mass.) -- History. ; Cape Cod (Mass.) -- History. ; Martha's Vineyard (Mass.) -- History. ; Nantucket (Mass.) -- Guidebooks. ; Cape Cod (Mass.) -- Guidebooks. ; Martha's Vineyard (Mass.) -- Guidebooks.</t>
  </si>
  <si>
    <t>https://ebookcentral.proquest.com/lib/viva-active/detail.action?docID=623380</t>
  </si>
  <si>
    <t>A Poetics of Resistance : The Revolutionary Public Relations of the Zapatista Insurgency</t>
  </si>
  <si>
    <t>AK Press</t>
  </si>
  <si>
    <t>Conant, Jeff</t>
  </si>
  <si>
    <t>Ejército Zapatista de Liberación Nacional (Mexico) ; Indians of Mexico -- Mexico -- Chiapas -- Government relations. ; Indians of Mexico -- Civil rights -- Mexico -- Chiapas. ; Political participation -- Mexico -- Chiapas. ; Chiapas (Mexico) -- History -- Peasant Uprising, 1994-</t>
  </si>
  <si>
    <t>https://ebookcentral.proquest.com/lib/viva-active/detail.action?docID=625079</t>
  </si>
  <si>
    <t>Vicos and Beyond : A Half Century of Applying Anthropology in Peru</t>
  </si>
  <si>
    <t>Greaves, Tom;Bolton, Ralph;Zapata, Florencia;Barnett, Clifford;Doughty, Paul L.;Ochoa, Jorge Flores;Isbell, Billie Jean;Mangin, William;Mayer, Enrique;Mitchell, William P.</t>
  </si>
  <si>
    <t>Indians of South America - Peru - Vicos -</t>
  </si>
  <si>
    <t>https://ebookcentral.proquest.com/lib/viva-active/detail.action?docID=634264</t>
  </si>
  <si>
    <t>Theoretical Perspectives on American Indian Education : Taking a New Look at Academic Success and the Achievement Gap</t>
  </si>
  <si>
    <t>Contemporary Native American Communities</t>
  </si>
  <si>
    <t>Huffman, Terry</t>
  </si>
  <si>
    <t>History; Education</t>
  </si>
  <si>
    <t>Indians of North America - Education - Philosophy</t>
  </si>
  <si>
    <t>https://ebookcentral.proquest.com/lib/viva-active/detail.action?docID=634266</t>
  </si>
  <si>
    <t>Living Histories : Native Americans and Southwestern Archaeology</t>
  </si>
  <si>
    <t>Issues in Southwest Archaeology</t>
  </si>
  <si>
    <t>Colwell-Chanthaphonh, Chip</t>
  </si>
  <si>
    <t>Archaeology - Moral and ethical aspects - Southwest, New</t>
  </si>
  <si>
    <t>https://ebookcentral.proquest.com/lib/viva-active/detail.action?docID=634267</t>
  </si>
  <si>
    <t>The Trail of Tears : An Annotated Bibliography of Southeastern Indian Removal</t>
  </si>
  <si>
    <t>Native American Bibliography Series</t>
  </si>
  <si>
    <t>Peterson, Herman A.</t>
  </si>
  <si>
    <t>Indians of North America - Relocation - Oklahoma</t>
  </si>
  <si>
    <t>https://ebookcentral.proquest.com/lib/viva-active/detail.action?docID=634288</t>
  </si>
  <si>
    <t>Reservation Reelism : Redfacing, Visual Sovereignty, and Representations of Native Americans in Film</t>
  </si>
  <si>
    <t>Raheja, Michelle H.</t>
  </si>
  <si>
    <t>Fine Arts; Social Science</t>
  </si>
  <si>
    <t>Indians in motion pictures. ; Indigenous peoples in motion pictures. ; Indians in the motion picture industry -- United States. ; Stereotypes (Social psychology) in motion pictures. ; Motion pictures -- United States -- History -- 20th century.</t>
  </si>
  <si>
    <t>https://ebookcentral.proquest.com/lib/viva-active/detail.action?docID=635530</t>
  </si>
  <si>
    <t>Way of Kinship : An Anthology of Native Siberian Literature</t>
  </si>
  <si>
    <t>First Peoples: New Directions Indigenous</t>
  </si>
  <si>
    <t>Vaschenko, Alexander;Smith, Claude Clayton;Momaday, N. Scott</t>
  </si>
  <si>
    <t>Child psychiatry. ; Child mental health.</t>
  </si>
  <si>
    <t>https://ebookcentral.proquest.com/lib/viva-active/detail.action?docID=635534</t>
  </si>
  <si>
    <t>Return to Servitude : Maya Migration and the Tourist Trade in Cancun</t>
  </si>
  <si>
    <t>First Peoples: New Directions in Indigenous Studies</t>
  </si>
  <si>
    <t>Castellanos, M. Bianet</t>
  </si>
  <si>
    <t>Differential equations. ; Mathematical analysis.</t>
  </si>
  <si>
    <t>https://ebookcentral.proquest.com/lib/viva-active/detail.action?docID=635542</t>
  </si>
  <si>
    <t>An Introduction to Classical Nahuatl</t>
  </si>
  <si>
    <t>Launey, Michel;Mackay, Christopher</t>
  </si>
  <si>
    <t>Nahuatl language. ; Nahuatl literature.</t>
  </si>
  <si>
    <t>https://ebookcentral.proquest.com/lib/viva-active/detail.action?docID=647379</t>
  </si>
  <si>
    <t>Heirs of Oppression : Racism and Reparations</t>
  </si>
  <si>
    <t>Rowman &amp; Littlefield Publishers</t>
  </si>
  <si>
    <t>Studies in Social, Political, and Legal Philosophy</t>
  </si>
  <si>
    <t>Corlett, Angelo J.;Corlett, Angelo</t>
  </si>
  <si>
    <t>Indians of North America - Reparations</t>
  </si>
  <si>
    <t>https://ebookcentral.proquest.com/lib/viva-active/detail.action?docID=648591</t>
  </si>
  <si>
    <t>From Chicaza to Chickasaw : The European Invasion and the Transformation of the Mississippian World, 1540-1715</t>
  </si>
  <si>
    <t>Ethridge, Robbie</t>
  </si>
  <si>
    <t>Chickasaw Indians -- History -- 16th century. ; Chickasaw Indians -- History -- 17th century. ; Indians of North America -- First contact with Europeans -- Southern States. ; Mississippian culture -- Southern States. ; Southern States -- History -- Colonial period, ca. 1600-1775.</t>
  </si>
  <si>
    <t>https://ebookcentral.proquest.com/lib/viva-active/detail.action?docID=655809</t>
  </si>
  <si>
    <t>Pachakutik : Indigenous Movements and Electoral Politics in Ecuador</t>
  </si>
  <si>
    <t>Critical Currents in Latin American Perspective Series</t>
  </si>
  <si>
    <t>Becker, Marc</t>
  </si>
  <si>
    <t>Elections - Ecuador</t>
  </si>
  <si>
    <t>https://ebookcentral.proquest.com/lib/viva-active/detail.action?docID=662189</t>
  </si>
  <si>
    <t>Polynesians in America : Pre-Columbian Contacts with the New World</t>
  </si>
  <si>
    <t>Jones, Terry L.;Storey, Alice A.;Matisoo-Smith, Elizabeth A.;Ramírez-Aliaga, José Miguel;Clarke, Andrew C.;Cordero, María-Auxiliadora;Green, Roger C.;Irwin, Geoffrey;Klar, Kathryn A.;Quiróz, Daniel</t>
  </si>
  <si>
    <t>Polynesians - America - Antiquities</t>
  </si>
  <si>
    <t>https://ebookcentral.proquest.com/lib/viva-active/detail.action?docID=662208</t>
  </si>
  <si>
    <t>Sacred Games, Death, and Renewal in the Ancient Eastern Woodlands : The Ohio Hopewell System of Cult Sodality Heterarchies</t>
  </si>
  <si>
    <t>Byers, A. Martin</t>
  </si>
  <si>
    <t>https://ebookcentral.proquest.com/lib/viva-active/detail.action?docID=662268</t>
  </si>
  <si>
    <t>Opera Indigene: Re/presenting First Nations and Indigenous Cultures</t>
  </si>
  <si>
    <t>Ashgate Interdisciplinary Studies in Opera Ser.</t>
  </si>
  <si>
    <t>Karantonis, Pamela;Robinson, Dylan;Marvin, Professor Roberta Montemorra</t>
  </si>
  <si>
    <t>Indigenous peoples in opera. ; Opera.</t>
  </si>
  <si>
    <t>https://ebookcentral.proquest.com/lib/viva-active/detail.action?docID=665340</t>
  </si>
  <si>
    <t>Food, Power, and Resistance in the Andes : Exploring Quechua Verbal and Visual Narratives</t>
  </si>
  <si>
    <t>Lexington Books</t>
  </si>
  <si>
    <t>Krögel, Alison;Kr Gel, Alison</t>
  </si>
  <si>
    <t>Women cooks - Peru - Social conditions</t>
  </si>
  <si>
    <t>https://ebookcentral.proquest.com/lib/viva-active/detail.action?docID=667128</t>
  </si>
  <si>
    <t>Contesting Human Remains in Museum Collections : The Crisis of Cultural Authority</t>
  </si>
  <si>
    <t>Routledge Research in Museum Studies</t>
  </si>
  <si>
    <t>Jenkins, Tiffany</t>
  </si>
  <si>
    <t>History; Law</t>
  </si>
  <si>
    <t>Cultural property - Political aspects</t>
  </si>
  <si>
    <t>https://ebookcentral.proquest.com/lib/viva-active/detail.action?docID=668153</t>
  </si>
  <si>
    <t>Reading Native American Literature</t>
  </si>
  <si>
    <t>Coulombe, Joseph L.</t>
  </si>
  <si>
    <t>American literature - Indian authors - History and criticism</t>
  </si>
  <si>
    <t>https://ebookcentral.proquest.com/lib/viva-active/detail.action?docID=668420</t>
  </si>
  <si>
    <t>The Politics of Belonging in India : Becoming Adivasi</t>
  </si>
  <si>
    <t>Routledge Contemporary South Asia Ser.</t>
  </si>
  <si>
    <t>Rycroft, Daniel J.;Dasgupta, Sangeeta</t>
  </si>
  <si>
    <t>Adivasis - Social conditions</t>
  </si>
  <si>
    <t>https://ebookcentral.proquest.com/lib/viva-active/detail.action?docID=672411</t>
  </si>
  <si>
    <t>Anetso, the Cherokee Ball Game : At the Center of Ceremony and Identity</t>
  </si>
  <si>
    <t>Zogry, Michael J.</t>
  </si>
  <si>
    <t>Cherokee Indians -- Games. ; Anetso. ; Cherokee Indians -- Sports. ; Cherokee Indians -- Ethnic identity.</t>
  </si>
  <si>
    <t>https://ebookcentral.proquest.com/lib/viva-active/detail.action?docID=673644</t>
  </si>
  <si>
    <t>The Great Basin : A Natural Prehistory</t>
  </si>
  <si>
    <t>Grayson, Donald;Grayson, Donald</t>
  </si>
  <si>
    <t>Science: Geology; Science: General; Science</t>
  </si>
  <si>
    <t>Paleontology - Great Basin</t>
  </si>
  <si>
    <t>https://ebookcentral.proquest.com/lib/viva-active/detail.action?docID=675858</t>
  </si>
  <si>
    <t>Indigenous Peoples and the Collaborative Stewardship of Nature : Knowledge Binds and Institutional Conflicts</t>
  </si>
  <si>
    <t xml:space="preserve">Ross, Anne;Sherman, Kathleen Pickering;Snodgrass, Jeffrey G.;Delcore, Henry D.;Sherman, Richard </t>
  </si>
  <si>
    <t>Indigenous peoples -- Ecology. ; Traditional ecological knowledge. ; Philosophy of nature. ; Conservation of natural resources.</t>
  </si>
  <si>
    <t>https://ebookcentral.proquest.com/lib/viva-active/detail.action?docID=677742</t>
  </si>
  <si>
    <t>Heads of State : Icons, Power, and Politics in the Ancient and Modern Andes</t>
  </si>
  <si>
    <t>Arnold, Denise Y.;Hastorf, Christine A.</t>
  </si>
  <si>
    <t>Indians of South America -- Andes Region -- Politics and government. ; Indians of South America -- Andes Region -- Kings and rulers. ; Indians of South America -- Andes Region -- Antiquities. ; Head -- Political aspects -- Andes Region. ; Head -- Religious aspects -- Andes Region. ; Andes Region -- Kings and rulers. ; Andes Region -- Antiquities.</t>
  </si>
  <si>
    <t>https://ebookcentral.proquest.com/lib/viva-active/detail.action?docID=677768</t>
  </si>
  <si>
    <t>Disappearing Peoples? : Indigenous Groups and Ethnic Minorities in South and Central Asia</t>
  </si>
  <si>
    <t>Brower, Barbara;Johnston, Barbara Rose</t>
  </si>
  <si>
    <t>Indigenous peoples -- South Asia. ; Indigenous peoples -- Asia, Central. ; South Asia -- Ethnic relations. ; Asia, Central -- Ethnic relations. ; South Asia -- Social conditions. ; Asia, Central -- Social conditions.</t>
  </si>
  <si>
    <t>https://ebookcentral.proquest.com/lib/viva-active/detail.action?docID=677769</t>
  </si>
  <si>
    <t>After the First Full Moon in April : A Sourcebook of Herbal Medicine from a California Indian Elder</t>
  </si>
  <si>
    <t>Peters, Josephine Grant;Ortiz, Beverly;Beck, Cheryl;Colegrove, Bryan;Ferris, Dwayne;Ferris, Zona</t>
  </si>
  <si>
    <t>Karok Indians - California - Social life and customs</t>
  </si>
  <si>
    <t>https://ebookcentral.proquest.com/lib/viva-active/detail.action?docID=677774</t>
  </si>
  <si>
    <t>Searching for Yellowstone : Race, Gender, Family and Memory in the Postmodern West</t>
  </si>
  <si>
    <t>Denzin, Norman K.</t>
  </si>
  <si>
    <t>Indians of North America -- West (U.S.) -- History. ; Sex role -- West (U.S.) -- History. ; Stereotypes (Social psychology) -- West (U.S.) -- History. ; Families -- West (U.S.) -- History. ; Memory -- Social aspects -- West (U.S.) -- History. ; Indians of North America -- Yellowstone National Park -- History. ; Historical reenactments -- Yellowstone National Park.</t>
  </si>
  <si>
    <t>https://ebookcentral.proquest.com/lib/viva-active/detail.action?docID=677801</t>
  </si>
  <si>
    <t>The Magic Children : Racial Identity at the End of the Age of Race</t>
  </si>
  <si>
    <t>Echo-Hawk, Roger</t>
  </si>
  <si>
    <t>Echo-Hawk, Roger C - Childhood and youth</t>
  </si>
  <si>
    <t>https://ebookcentral.proquest.com/lib/viva-active/detail.action?docID=677805</t>
  </si>
  <si>
    <t>The Healthy Ancestor : Embodied Inequality and the Revitalization of Native Hawai'ian Health</t>
  </si>
  <si>
    <t>Advances in Critical Medical Anthropology Ser.</t>
  </si>
  <si>
    <t>McMullin, Juliet</t>
  </si>
  <si>
    <t>Medical anthropology -- Hawaii. ; Public health -- Hawaii. ; Traditional medicine -- Hawaii. ; Hawaiians -- Health and hygiene. ; Hawaiians -- Medical care. ; Hawaiians -- Ethnic identity. ; Human body -- Social aspects -- Hawaii.</t>
  </si>
  <si>
    <t>https://ebookcentral.proquest.com/lib/viva-active/detail.action?docID=677817</t>
  </si>
  <si>
    <t>Being and Becoming Indigenous Archaeologists</t>
  </si>
  <si>
    <t>Archaeology &amp; Indigenous Peoples</t>
  </si>
  <si>
    <t>Nicholas, George;Smith, Claire</t>
  </si>
  <si>
    <t>Ethnoarchaeology. ; Archaeologists -- Biography.</t>
  </si>
  <si>
    <t>https://ebookcentral.proquest.com/lib/viva-active/detail.action?docID=677820</t>
  </si>
  <si>
    <t>Scoping the Amazon : Image, Icon, and Ethnography</t>
  </si>
  <si>
    <t>Nugent, Stephen</t>
  </si>
  <si>
    <t>Indians of South America -- Amazon River Region -- Public opinion. ; Europeans -- Attitudes. ; Indigenous peoples in popular culture -- Amazon River Region. ; Indigenous peoples in motion pictures. ; Stereotypes (Social psychology) -- Amazon River Region.</t>
  </si>
  <si>
    <t>https://ebookcentral.proquest.com/lib/viva-active/detail.action?docID=677821</t>
  </si>
  <si>
    <t>Nukak : Ethnoarchaeology of an Amazonian People</t>
  </si>
  <si>
    <t>UCL Institute of Archaeology Publications</t>
  </si>
  <si>
    <t>Politis, Gustavo</t>
  </si>
  <si>
    <t>Nukak Indians -- Social life and customs. ; Colombia -- History.</t>
  </si>
  <si>
    <t>https://ebookcentral.proquest.com/lib/viva-active/detail.action?docID=677822</t>
  </si>
  <si>
    <t>Archaeologies of Placemaking : Monuments, Memories, and Engagement in Native North America</t>
  </si>
  <si>
    <t>One World Archaeology</t>
  </si>
  <si>
    <t>Rubertone, Patricia E.</t>
  </si>
  <si>
    <t>Indians of North America -- Antiquities -- Congresses. ; Cultural property -- United States -- Congresses. ; Cultural property -- Protection -- United States -- Congresses. ; Collective memory -- United States -- Congresses. ; Landscape archaeology -- United States -- Congresses. ; United States -- Antiquities -- Congresses.</t>
  </si>
  <si>
    <t>https://ebookcentral.proquest.com/lib/viva-active/detail.action?docID=677828</t>
  </si>
  <si>
    <t>Decolonizing Conservation : Caring for Maori Meeting Houses Outside New Zealand</t>
  </si>
  <si>
    <t>UCL Institute of Archaeology Critical Cultural Heritage Ser.</t>
  </si>
  <si>
    <t>Sully, Dean</t>
  </si>
  <si>
    <t>History; Environmental Studies</t>
  </si>
  <si>
    <t>Architecture, Maori -- Protection -- Case studies. ; Wood-carving, Maori -- Protection -- Case studies. ; Maori (New Zealand people) -- Material culture -- Protection -- Case studies. ; Cultural property -- Protection -- New Zealand -- Case studies.</t>
  </si>
  <si>
    <t>https://ebookcentral.proquest.com/lib/viva-active/detail.action?docID=677833</t>
  </si>
  <si>
    <t>From Rebellion to Reform in Bolivia : Class Struggle, Indigenous Liberation, and the Politics of Evo Morales</t>
  </si>
  <si>
    <t>Haymarket Books</t>
  </si>
  <si>
    <t>Webber, Jeffery</t>
  </si>
  <si>
    <t>Bolivia - Social policy</t>
  </si>
  <si>
    <t>https://ebookcentral.proquest.com/lib/viva-active/detail.action?docID=680039</t>
  </si>
  <si>
    <t>Subordination in Native South American Languages</t>
  </si>
  <si>
    <t>Gijn, Rik van;Haude, Katharina;Muysken, Pieter</t>
  </si>
  <si>
    <t>Language and languages -- Variation. ; Indians of South America -- Languages. ; South America -- Languages.</t>
  </si>
  <si>
    <t>https://ebookcentral.proquest.com/lib/viva-active/detail.action?docID=680424</t>
  </si>
  <si>
    <t>Sydney's Aboriginal Past : Investigating the Archaeological and Historical Records</t>
  </si>
  <si>
    <t>University of New South Wales Press</t>
  </si>
  <si>
    <t>Attenbrow, Val</t>
  </si>
  <si>
    <t>Aboriginal Australians--Australia--Sydney (N.S.W.)--Antiquities.</t>
  </si>
  <si>
    <t>https://ebookcentral.proquest.com/lib/viva-active/detail.action?docID=680667</t>
  </si>
  <si>
    <t>"And He Knew Our Language" : Missionary Linguistics on the Pacific Northwest Coast</t>
  </si>
  <si>
    <t>Studies in the History of the Language Sciences Ser.</t>
  </si>
  <si>
    <t>Tomalin, Marcus</t>
  </si>
  <si>
    <t>Haida language -- Discourse analysis. ; Haida Indians -- Languages. ; Indians -- Languages -- History. ; Indians of North America -- Missions -- British Columbia -- Haida Gwaii.</t>
  </si>
  <si>
    <t>https://ebookcentral.proquest.com/lib/viva-active/detail.action?docID=680940</t>
  </si>
  <si>
    <t>National Integration and Contested Autonomy : The Caribbean Coast of Nicaragua</t>
  </si>
  <si>
    <t>Baracco, Luciano</t>
  </si>
  <si>
    <t>Miskito Indians -- Nicaragua -- Government relations. ; Miskito Indians -- Politics and government. ; Mosquitia (Nicaragua and Honduras) -- Politics and government. ; Atlantic Coast (Nicaragua) -- History -- Autonomy and independence movements.</t>
  </si>
  <si>
    <t>https://ebookcentral.proquest.com/lib/viva-active/detail.action?docID=684495</t>
  </si>
  <si>
    <t>A Kindly Scrutiny of Human Nature : Essays in Honour of Richard Slobodin</t>
  </si>
  <si>
    <t>Wilfrid Laurier University Press</t>
  </si>
  <si>
    <t>Preston, Richard J.</t>
  </si>
  <si>
    <t>Philosophy; Social Science</t>
  </si>
  <si>
    <t>Slobodin, Richard, -- 1915-2005. ; Ethnology -- Canada, Northern. ; Anthropologists -- Canada -- Biography.</t>
  </si>
  <si>
    <t>https://ebookcentral.proquest.com/lib/viva-active/detail.action?docID=685845</t>
  </si>
  <si>
    <t>The Invisible War : Indigenous Devotions, Discipline, and Dissent in Colonial Mexico</t>
  </si>
  <si>
    <t>Tavarez, David</t>
  </si>
  <si>
    <t>Catholic Church -- Mexico -- History. ; Indians of Mexico -- Religion. ; Indians of Mexico -- Rites and ceremonies. ; Idolatry -- Mexico -- History. ; Inquisition -- Mexico. ; Christianity and other religions -- Mexico. ; Mexico -- Religious life and customs.</t>
  </si>
  <si>
    <t>https://ebookcentral.proquest.com/lib/viva-active/detail.action?docID=686215</t>
  </si>
  <si>
    <t>The Rise of Evo Morales and the MAS</t>
  </si>
  <si>
    <t>Harten, Sven</t>
  </si>
  <si>
    <t>Morales Ayma, Evo, -- 1959- ; Movimiento al Socialismo (Bolivia) ; Presidents -- Bolivia -- Biography. ; Bolivia -- Politics and government -- 2006- ; Bolivia -- History -- 21st century.</t>
  </si>
  <si>
    <t>https://ebookcentral.proquest.com/lib/viva-active/detail.action?docID=688555</t>
  </si>
  <si>
    <t>From Foraging to Farming in the Andes : New Perspectives on Food Production and Social Organization</t>
  </si>
  <si>
    <t>Indians of South America -- Agriculture -- Peru -- Jequetepeque River Valley. ; Indians of South America -- Food -- Peru -- Jequetepeque River Valley. ; Hunting and gathering societies -- Peru -- Jequetepeque River Valley. ; Agriculture -- Peru -- Jequetepeque River Valley -- Origin. ; Plants, Cultivated -- Peru -- Jequetepeque River Valley. ; Irrigation farming -- Peru -- Jequetepeque River Valley. ; Excavations (Archaeology) -- Peru -- Jequetepeque River Valley.</t>
  </si>
  <si>
    <t>https://ebookcentral.proquest.com/lib/viva-active/detail.action?docID=691967</t>
  </si>
  <si>
    <t>Education and Sustainability : Learning Across the Diaspora, Indigenous, and Minority Divide</t>
  </si>
  <si>
    <t>Routledge Research in Education Ser.</t>
  </si>
  <si>
    <t>MacPherson, Seonaigh</t>
  </si>
  <si>
    <t>International education. ; Education and globalization. ; Sustainable development. ; Native language and education. ; Multiculturalism.</t>
  </si>
  <si>
    <t>https://ebookcentral.proquest.com/lib/viva-active/detail.action?docID=692393</t>
  </si>
  <si>
    <t>Uncommon Schools : The Global Rise of Postsecondary Institutions for Indigenous Peoples</t>
  </si>
  <si>
    <t>Cole, Wade</t>
  </si>
  <si>
    <t>Indigenous peoples -- Education (Higher) -- Cross-cultural studies. ; Indigenous peoples -- Legal status, laws, etc. -- Cross-cultural studies. ; Indigenous peoples -- Government relations -- Cross-cultural studies. ; Higher education and state -- Cross-cultural studies.</t>
  </si>
  <si>
    <t>https://ebookcentral.proquest.com/lib/viva-active/detail.action?docID=692465</t>
  </si>
  <si>
    <t>Being Maasai, Becoming Indigenous : Postcolonial Politics in a Neoliberal World</t>
  </si>
  <si>
    <t>Hodgson, Dorothy L.</t>
  </si>
  <si>
    <t>Neoliberalism - Africa - Social aspects</t>
  </si>
  <si>
    <t>https://ebookcentral.proquest.com/lib/viva-active/detail.action?docID=713666</t>
  </si>
  <si>
    <t>Bridging the Divide : Indigenous Communities and Archaeology into the 21st Century</t>
  </si>
  <si>
    <t>Phillips, Caroline;Allen, Harry</t>
  </si>
  <si>
    <t>Archaeology -- Social aspects -- Congresses. ; Archaeology -- Political aspects -- Congresses. ; Ethnoarchaeology -- Congresses. ; Cultural property -- Protection -- Congresses. ; Indigenous peoples -- Social conditions -- Congresses. ; Indigenous peoples -- Politics and government -- Congresses. ; Intercultural communication -- Congresses.</t>
  </si>
  <si>
    <t>https://ebookcentral.proquest.com/lib/viva-active/detail.action?docID=713711</t>
  </si>
  <si>
    <t>Custer on Canvas : Representing Indians, Memory, and Violence in the New West</t>
  </si>
  <si>
    <t>Custer, George, -- 1776-1833 -- Portraits. ; Custer, George, -- 1776-1833 -- Drama. ; Custer, George, -- 1776-1833 -- Anniversaries, etc. ; Little Bighorn, Battle of the, Mont., 1876 -- Pictorial works. ; Little Bighorn, Battle of the, Mont., 1876, in art. ; Little Bighorn, Battle of the, Mont., 1876 -- Drama. ; Indians in art.</t>
  </si>
  <si>
    <t>https://ebookcentral.proquest.com/lib/viva-active/detail.action?docID=714453</t>
  </si>
  <si>
    <t>Federal Fathers and Mothers : A Social History of the United States Indian Service, 1869-1933</t>
  </si>
  <si>
    <t>New Directions in Southern Studies</t>
  </si>
  <si>
    <t>Cahill, Cathleen D.</t>
  </si>
  <si>
    <t>United States. -- Bureau of Indian Affairs -- History. ; United States. -- Bureau of Indian Affairs -- Officials and employees -- History. ; Civil service -- Social aspects -- United States -- History. ; Indians of North America -- Cultural assimilation -- History. ; Indians of North America -- Government relations -- 1869-1934.</t>
  </si>
  <si>
    <t>https://ebookcentral.proquest.com/lib/viva-active/detail.action?docID=716593</t>
  </si>
  <si>
    <t>Salish Applicatives</t>
  </si>
  <si>
    <t>Brill's Studies in the Indigenous Languages of the Americas Ser.</t>
  </si>
  <si>
    <t>Kiyosawa, Kaoru;Gerdts, Donna</t>
  </si>
  <si>
    <t>Salishan languages -- Grammar. ; Salishan languages -- Morphology.</t>
  </si>
  <si>
    <t>https://ebookcentral.proquest.com/lib/viva-active/detail.action?docID=717537</t>
  </si>
  <si>
    <t>Landscapes of Relations and Belonging : Body, Place and Politics in Wogeo, Papua New Guinea</t>
  </si>
  <si>
    <t>Berghahn Books, Incorporated</t>
  </si>
  <si>
    <t>Person, Space and Memory in the Contemporary Pacific Ser.</t>
  </si>
  <si>
    <t>Anderson, Astrid</t>
  </si>
  <si>
    <t>Ethnology -- Papua New Guinea -- Vokeo Island. ; Ethnopsychology -- Papua New Guinea -- Vokeo Island. ; Ethnicity -- Papua New Guinea -- Vokeo Island. ; Geographical perception -- Papua New Guinea -- Vokeo Island. ; Vokeo Island (Papua New Guinea) -- Politics and government. ; Vokeo Island (Papua New Guinea) -- Social life and customs.</t>
  </si>
  <si>
    <t>https://ebookcentral.proquest.com/lib/viva-active/detail.action?docID=717900</t>
  </si>
  <si>
    <t>The Fate of the Forest : Developers, Destroyers, and Defenders of the Amazon, Updated Edition</t>
  </si>
  <si>
    <t>Hecht, Susanna B.;Cockburn, Alexander</t>
  </si>
  <si>
    <t>Agriculture; Economics; Environmental Studies</t>
  </si>
  <si>
    <t>Deforestation -- Amazon River Region. ; Forest conservation -- Amazon River Region. ; Rain forest ecology -- Amazon River Region. ; Amazon River Region.</t>
  </si>
  <si>
    <t>https://ebookcentral.proquest.com/lib/viva-active/detail.action?docID=719231</t>
  </si>
  <si>
    <t>Three Fires Unity : The Anishnaabeg of the Lake Huron Borderlands</t>
  </si>
  <si>
    <t>North American Indian Prose Award</t>
  </si>
  <si>
    <t>Bellfy, Phil</t>
  </si>
  <si>
    <t>Ojibwa Indians -- Huron, Lake, Region (Mich. and Ont.) -- History. ; Ottawa Indians -- Huron, Lake, Region (Mich. and Ont.) -- History. ; Potawatomi Indians -- Huron, Lake, Region (Mich. and Ont.) -- History. ; Ojibwa Indians -- Huron, Lake, Region (Mich. and Ont.) -- Social conditions. ; Ottawa Indians -- Huron, Lake, Region (Mich. and Ont.) -- Social conditions. ; Potawatomi Indians -- Huron, Lake, Region (Mich. and Ont.) -- Social conditions. ; Huron, Lake, Region (Mich. and Ont.) -- History.</t>
  </si>
  <si>
    <t>https://ebookcentral.proquest.com/lib/viva-active/detail.action?docID=725892</t>
  </si>
  <si>
    <t>Living with Koryak Traditions : Playing with Culture in Siberia</t>
  </si>
  <si>
    <t>King, Alexander D</t>
  </si>
  <si>
    <t>Koryaks -- Russia (Federation) -- Kamchatka Peninsula -- History. ; Koryaks -- Russia (Federation) -- Kamchatka Peninsula -- Ethnic identity. ; Koryaks -- Cultural assimilation -- Russia (Federation) -- Kamchatka Peninsula. ; Culture and globalization -- Russia (Federation) -- Kamchatka Peninsula. ; Kamchatka Peninsula (Russia) -- Ethnic relations. ; Kamchatka Peninsula (Russia) -- Social life and customs.</t>
  </si>
  <si>
    <t>https://ebookcentral.proquest.com/lib/viva-active/detail.action?docID=725902</t>
  </si>
  <si>
    <t>Grammar of Creek (Muskogee)</t>
  </si>
  <si>
    <t>Studies in the Native Languages of the Americas</t>
  </si>
  <si>
    <t>Martin, Jack B</t>
  </si>
  <si>
    <t>Creek language -- Grammar. ; Creek language -- Textbooks for foreign speakers -- English.</t>
  </si>
  <si>
    <t>https://ebookcentral.proquest.com/lib/viva-active/detail.action?docID=725903</t>
  </si>
  <si>
    <t>Born in the Blood : On Native American Translation</t>
  </si>
  <si>
    <t>Native Literatures of the Americas</t>
  </si>
  <si>
    <t>Swann, Brian</t>
  </si>
  <si>
    <t>Indians of North America -- Languages -- Translating. ; Indian literature -- North America -- Translations into English -- History and criticism.</t>
  </si>
  <si>
    <t>https://ebookcentral.proquest.com/lib/viva-active/detail.action?docID=725906</t>
  </si>
  <si>
    <t>Direct Action : An Ethnography</t>
  </si>
  <si>
    <t>Graeber, David</t>
  </si>
  <si>
    <t>Summit of the Americas -- (3rd : -- 2001 : -- Québec, Québec) ; Political anthropology -- America. ; Anti-globalization movement -- America.</t>
  </si>
  <si>
    <t>https://ebookcentral.proquest.com/lib/viva-active/detail.action?docID=729351</t>
  </si>
  <si>
    <t>Ecological Revolutions : Nature, Gender, and Science in New England</t>
  </si>
  <si>
    <t xml:space="preserve">Merchant, Carolyn;Merchant, Carolyn ;Merchant, Carolyn </t>
  </si>
  <si>
    <t>Human ecology -- New England -- History. ; Indians of North America -- New England -- Economic conditions. ; Human ecology -- Philosophy -- History. ; New England -- Economic conditions.</t>
  </si>
  <si>
    <t>https://ebookcentral.proquest.com/lib/viva-active/detail.action?docID=732140</t>
  </si>
  <si>
    <t>Striding Both Worlds : Witi Ihimaera and New Zealand¿s Literary Traditions</t>
  </si>
  <si>
    <t>Cross/Cultures Ser.</t>
  </si>
  <si>
    <t>Kennedy, Melissa</t>
  </si>
  <si>
    <t>Ihimaera, Witi, -- 1944- -- Criticism and interpretation.</t>
  </si>
  <si>
    <t>https://ebookcentral.proquest.com/lib/viva-active/detail.action?docID=735589</t>
  </si>
  <si>
    <t>Kivalina : A Climate Change Story</t>
  </si>
  <si>
    <t>Shearer, Christine</t>
  </si>
  <si>
    <t>Environmental justice - Alaska - Kivalina</t>
  </si>
  <si>
    <t>https://ebookcentral.proquest.com/lib/viva-active/detail.action?docID=744755</t>
  </si>
  <si>
    <t>Upper Necaxa Totonac Dictionary</t>
  </si>
  <si>
    <t>Walter de Gruyter GmbH</t>
  </si>
  <si>
    <t>Trends in Linguistics. Documentation [TiLDOC]</t>
  </si>
  <si>
    <t>Beck, David</t>
  </si>
  <si>
    <t>Totonac language -- Dictionaries.</t>
  </si>
  <si>
    <t>https://ebookcentral.proquest.com/lib/viva-active/detail.action?docID=765882</t>
  </si>
  <si>
    <t>Louise Erdrich : Tracks, the Last Report on the Miracles at Little No Horse, the Plague of Doves</t>
  </si>
  <si>
    <t>Bloomsbury Studies in Contemporary North American Fiction Ser.</t>
  </si>
  <si>
    <t>Madsen, Deborah L.</t>
  </si>
  <si>
    <t>Erdrich, Louise -- Criticism, interpretation, etc. ; American literature -- 20th century -- History and criticism.</t>
  </si>
  <si>
    <t>https://ebookcentral.proquest.com/lib/viva-active/detail.action?docID=766083</t>
  </si>
  <si>
    <t>Case-Marking in Contact : The development and function of case morphology in Gurindji Kriol</t>
  </si>
  <si>
    <t>Meakins, Felicity</t>
  </si>
  <si>
    <t>Chemical engineering -- Handbooks, manuals, etc. ; Matter -- Properties.</t>
  </si>
  <si>
    <t>https://ebookcentral.proquest.com/lib/viva-active/detail.action?docID=769697</t>
  </si>
  <si>
    <t>New Worlds of Violence : Cultures and Conquests in the Early American Southeast</t>
  </si>
  <si>
    <t>University of Tennessee Press</t>
  </si>
  <si>
    <t>Jennings, Matthew</t>
  </si>
  <si>
    <t>Violence -- Southern States -- History -- 17th century. ; Violence -- Southern States -- History -- 18th century. ; Indians of North America -- First contact with Europeans -- Southern States. ; Indians of North America -- Southern States -- History -- Colonial period, ca. 1600-1775. ; Indians of North America -- Wars -- 1600-1750. ; Indians of North America -- Wars -- Southern States. ; Whites -- Southern States -- Relations with Indians.</t>
  </si>
  <si>
    <t>https://ebookcentral.proquest.com/lib/viva-active/detail.action?docID=773465</t>
  </si>
  <si>
    <t>Ritual Imagination : A Study of Tromba Possession among the Betsimisaraka in Eastern Madagascar</t>
  </si>
  <si>
    <t>Studies of Religion in Africa Ser.</t>
  </si>
  <si>
    <t>Nielssen, Hilde</t>
  </si>
  <si>
    <t>Spirit possession -- Madagascar. ; Betsimisaraka (Malagasy people) -- Religion. ; Betsimisaraka (Malagasy people) -- Rites and ceremonies. ; Betsimisaraka (Malagasy people) -- Social life and customs. ; Cults -- Madagascar.</t>
  </si>
  <si>
    <t>https://ebookcentral.proquest.com/lib/viva-active/detail.action?docID=783306</t>
  </si>
  <si>
    <t>Transit of Empire : Indigenous Critiques of Colonialism</t>
  </si>
  <si>
    <t>Byrd, Jodi A.</t>
  </si>
  <si>
    <t>Endocrinology. ; Endocrine glands -- Diseases.</t>
  </si>
  <si>
    <t>https://ebookcentral.proquest.com/lib/viva-active/detail.action?docID=784159</t>
  </si>
  <si>
    <t>Ute Reference Grammar</t>
  </si>
  <si>
    <t>Givón, T.</t>
  </si>
  <si>
    <t>Sales force management. ; Sales executives.</t>
  </si>
  <si>
    <t>https://ebookcentral.proquest.com/lib/viva-active/detail.action?docID=784246</t>
  </si>
  <si>
    <t>Early Mesoamerican Social Transformations : Archaic and Formative Lifeways in the Soconusco Region</t>
  </si>
  <si>
    <t>Lesure, Richard G.</t>
  </si>
  <si>
    <t>Indians of Mexico -- Mexico -- Soconusco Region -- Antiquities. ; Indian pottery -- Mexico -- Soconusco Region -- Antiquities. ; Indians of Mexico -- Implements -- Mexico -- Soconusco Region. ; Excavations (Archaeology) -- Mexico -- Soconusco Region. ; Social archaeology -- Mexico -- Soconusco Region. ; Soconusco Region (Mexico)</t>
  </si>
  <si>
    <t>https://ebookcentral.proquest.com/lib/viva-active/detail.action?docID=784541</t>
  </si>
  <si>
    <t>The Tuma Underworld of Love : Erotic and other narrative songs of the Trobriand Islanders and their spirits of the dead</t>
  </si>
  <si>
    <t>Culture and Language Use</t>
  </si>
  <si>
    <t>Senft, Gunter</t>
  </si>
  <si>
    <t>Kiriwinian language. ; Trobriand Islands (Papua New Guinea) -- Languages.</t>
  </si>
  <si>
    <t>https://ebookcentral.proquest.com/lib/viva-active/detail.action?docID=786929</t>
  </si>
  <si>
    <t>Indigenous Peoples and Archaeology in Latin America</t>
  </si>
  <si>
    <t>Gnecco, Cristóbal;Ayala, Patricia</t>
  </si>
  <si>
    <t>Indians -- Antiquities. ; Indigenous peoples -- Latin America -- Antiquities. ; Archaeology -- Government policy -- Latin America. ; Cultural property -- Latin America. ; Nationalism and collective memory -- Latin America. ; Latin America -- Antiquities.</t>
  </si>
  <si>
    <t>https://ebookcentral.proquest.com/lib/viva-active/detail.action?docID=798017</t>
  </si>
  <si>
    <t>The Aztecs : A Very Short Introduction</t>
  </si>
  <si>
    <t>Oxford University Press</t>
  </si>
  <si>
    <t>Very Short Introductions</t>
  </si>
  <si>
    <t>Carrasco, David</t>
  </si>
  <si>
    <t>Aztecs.</t>
  </si>
  <si>
    <t>https://ebookcentral.proquest.com/lib/viva-active/detail.action?docID=800807</t>
  </si>
  <si>
    <t>Archaeology of Clothing and Bodily Adornment in Colonial America</t>
  </si>
  <si>
    <t>University Press of Florida</t>
  </si>
  <si>
    <t>American Experience in Archaeological Perspective</t>
  </si>
  <si>
    <t>Loren, Diana DiPaolo</t>
  </si>
  <si>
    <t>Great Britain -- History. ; Somerset (England) -- History, Local.</t>
  </si>
  <si>
    <t>https://ebookcentral.proquest.com/lib/viva-active/detail.action?docID=801053</t>
  </si>
  <si>
    <t>Space and Sculpture in the Classic Maya City</t>
  </si>
  <si>
    <t>Parmington, Alexander</t>
  </si>
  <si>
    <t>Spatial analysis (Statistics) in archaeology -- Mexico -- Palenque (Chiapas) ; Maya sculpture -- Mexico -- Palenque (Chiapas) ; Maya architecture -- Mexico -- Palenque (Chiapas) ; Palenque Site (Mexico) ; Palenque (Chiapas, Mexico) -- Antiquities.</t>
  </si>
  <si>
    <t>https://ebookcentral.proquest.com/lib/viva-active/detail.action?docID=803161</t>
  </si>
  <si>
    <t>Soul Talk, Song Language : Conversations with Joy Harjo</t>
  </si>
  <si>
    <t>Wesleyan University Press</t>
  </si>
  <si>
    <t>Harjo, Joy;Winder, Tanaya;Coltelli, Laura</t>
  </si>
  <si>
    <t>Harjo, Joy</t>
  </si>
  <si>
    <t>https://ebookcentral.proquest.com/lib/viva-active/detail.action?docID=805035</t>
  </si>
  <si>
    <t>Ethics in Engineering Practice and Research</t>
  </si>
  <si>
    <t>Whitbeck, Caroline</t>
  </si>
  <si>
    <t>Engineering: Civil; Philosophy; Engineering</t>
  </si>
  <si>
    <t>Engineering ethics.</t>
  </si>
  <si>
    <t>https://ebookcentral.proquest.com/lib/viva-active/detail.action?docID=807306</t>
  </si>
  <si>
    <t>Narrating Indigenous Modernities : Transcultural Dimensions in Contemporary Māori Literature</t>
  </si>
  <si>
    <t>Moura-Koçoğlu, Michaela</t>
  </si>
  <si>
    <t>Language/Linguistics; Literature</t>
  </si>
  <si>
    <t>Maori literature. ; Multiculturalism in literature.</t>
  </si>
  <si>
    <t>https://ebookcentral.proquest.com/lib/viva-active/detail.action?docID=819918</t>
  </si>
  <si>
    <t>The Politics of Indigeneity : Dialogues and Reflections on Indigenous Activism</t>
  </si>
  <si>
    <t>Venkateswar, Sita;Kidd, Christopher;Tuiono, Teanau;Hughes, Emma;Bell, Avril;McKinnon, Katharine;Singh, Simron Jit;Allen, Elizabeth;Kenrick, Justin;Glauser, Benno</t>
  </si>
  <si>
    <t>Indigenous peoples.</t>
  </si>
  <si>
    <t>https://ebookcentral.proquest.com/lib/viva-active/detail.action?docID=819938</t>
  </si>
  <si>
    <t>Culture Crisis : Anthropology and Politics in Aboriginal Australia</t>
  </si>
  <si>
    <t>UNSW Press</t>
  </si>
  <si>
    <t>Altman, Jon;Hinkson, Melinda</t>
  </si>
  <si>
    <t>Quicken (Computer file) ; Finance, Personal -- Computer programs.</t>
  </si>
  <si>
    <t>https://ebookcentral.proquest.com/lib/viva-active/detail.action?docID=826908</t>
  </si>
  <si>
    <t>The Corner of the Living : Ayacucho on the Eve of the Shining Path Insurgency</t>
  </si>
  <si>
    <t>La Serna, Miguel</t>
  </si>
  <si>
    <t>Sendero Luminoso (Guerrilla group) -- History. ; Peru -- Politics and government -- 1980- ; Chuschi (Peru) -- Social conditions. ; Chuschi (Peru) -- Politics and government. ; Ayacucho (Peru) -- Social conditions. ; Ayacucho (Peru) -- Politics and government. ; Peru -- History.</t>
  </si>
  <si>
    <t>https://ebookcentral.proquest.com/lib/viva-active/detail.action?docID=834230</t>
  </si>
  <si>
    <t>Acorns and Bitter Roots : Starch Grain Research in the Prehistoric Eastern Woodlands</t>
  </si>
  <si>
    <t>Messner, Timothy C.</t>
  </si>
  <si>
    <t>Delaware River Watershed (N.Y.-Del. and N.J.) - Environmental conditions</t>
  </si>
  <si>
    <t>https://ebookcentral.proquest.com/lib/viva-active/detail.action?docID=835605</t>
  </si>
  <si>
    <t>American Indians and the Market Economy, 1775-1850</t>
  </si>
  <si>
    <t>Greene, Lance;Plane, Mark R.;Perttula, Timothy K.</t>
  </si>
  <si>
    <t>Economic anthropology - United States</t>
  </si>
  <si>
    <t>https://ebookcentral.proquest.com/lib/viva-active/detail.action?docID=835608</t>
  </si>
  <si>
    <t>Boundary Conditions : Macrobotanical Remains and the Oliver Phase of Central Indiana, A. D. 1200-1450</t>
  </si>
  <si>
    <t>Bush, Leslie L.</t>
  </si>
  <si>
    <t>Home Economics; History</t>
  </si>
  <si>
    <t>Indians of North America -- Food -- Indiana. ; Indians of North America -- Ethnobotany -- Indiana. ; Indians of North America -- Indiana -- Antiquities. ; Plant remains (Archaeology) -- Indiana. ; Paleoethnobotany -- Indiana. ; Indiana -- Antiquities.</t>
  </si>
  <si>
    <t>https://ebookcentral.proquest.com/lib/viva-active/detail.action?docID=835615</t>
  </si>
  <si>
    <t>Building a Nation : Chickasaw Museums and the Construction of History and Heritage</t>
  </si>
  <si>
    <t>Gorman, Joshua M.</t>
  </si>
  <si>
    <t>Chickasaw Nation, Oklahoma - Politics and government</t>
  </si>
  <si>
    <t>https://ebookcentral.proquest.com/lib/viva-active/detail.action?docID=835616</t>
  </si>
  <si>
    <t>Florida Place-Names of Indian Origin and Seminole Personal Names</t>
  </si>
  <si>
    <t>Read, William A.;Wickman, Patricia Riles</t>
  </si>
  <si>
    <t>Geography/Travel; History</t>
  </si>
  <si>
    <t>Names, Geographical -- Florida. ; Names, Indian -- Florida. ; Names, Seminole.</t>
  </si>
  <si>
    <t>https://ebookcentral.proquest.com/lib/viva-active/detail.action?docID=835622</t>
  </si>
  <si>
    <t>Historic Indian Towns in Alabama, 1540-1838</t>
  </si>
  <si>
    <t>Knight, Vernon James, Jr.;Wright, Amos J.;Knight, Vernon James</t>
  </si>
  <si>
    <t>Indians of North America -- Alabama -- History. ; Indians of North America -- Urban residence -- Alabama. ; Alabama -- Historical geography.</t>
  </si>
  <si>
    <t>https://ebookcentral.proquest.com/lib/viva-active/detail.action?docID=835629</t>
  </si>
  <si>
    <t>Hunting for Hides : Deerskins, Status, and Cultural Change in the Protohistoric Appalachians</t>
  </si>
  <si>
    <t>Lapham, Heather A.</t>
  </si>
  <si>
    <t>Indians of North America -- Hunting -- Appalachian Region, Southern. ; Indians of North America -- Appalachian Region, Southern. ; Excavations (Archaeology) -- Appalachian Region, Southern. ; Appalachian Region, Southern -- Antiquities.</t>
  </si>
  <si>
    <t>https://ebookcentral.proquest.com/lib/viva-active/detail.action?docID=835630</t>
  </si>
  <si>
    <t>Inside the Eagle's Head : An American Indian College</t>
  </si>
  <si>
    <t>Khachadoorian, Angelle A.</t>
  </si>
  <si>
    <t>Education; History</t>
  </si>
  <si>
    <t>Indian universities and colleges - New Mexico - Albuquerque</t>
  </si>
  <si>
    <t>https://ebookcentral.proquest.com/lib/viva-active/detail.action?docID=835632</t>
  </si>
  <si>
    <t>Light on the Path : The Anthropology and History of the Southeastern Indians</t>
  </si>
  <si>
    <t>Pluckhahn, Thomas J.;Ethridge, Robbie;King, Adam;Milanich, Jerald T.;Smith, Marvin T.;Bowne, Eric E.;Purdue, Theda;Worth, John E.;Kowalewski, S.;Hahn, Steven C.</t>
  </si>
  <si>
    <t>Mississippian culture -- Southern States. ; Chiefdoms -- Southern States. ; Indians of North America -- Southern States -- History. ; Indians of North America -- Southern States -- Antiquities. ; Southern States -- History. ; Southern States -- Antiquities.</t>
  </si>
  <si>
    <t>https://ebookcentral.proquest.com/lib/viva-active/detail.action?docID=835639</t>
  </si>
  <si>
    <t>Mississippian Polity and Politics on the Gulf Coastal Plain : A View from the Pearl River, Mississippi</t>
  </si>
  <si>
    <t>Livingood, Patrick C.</t>
  </si>
  <si>
    <t>Excavations (Archaeology) - Pearl River Valley (Miss. and La.)</t>
  </si>
  <si>
    <t>https://ebookcentral.proquest.com/lib/viva-active/detail.action?docID=835641</t>
  </si>
  <si>
    <t>Pox, Empire, Shackles, and Hides : The Townsend Site, 1670-1715</t>
  </si>
  <si>
    <t>Marcoux, Jon Bernard</t>
  </si>
  <si>
    <t>Townsend (Tenn.) - Antiquities</t>
  </si>
  <si>
    <t>https://ebookcentral.proquest.com/lib/viva-active/detail.action?docID=835651</t>
  </si>
  <si>
    <t>Remaining Chickasaw in Indian Territory, 1830s-1907</t>
  </si>
  <si>
    <t>St. Jean, Wendy</t>
  </si>
  <si>
    <t>Oklahoma - Social conditions - 19th century</t>
  </si>
  <si>
    <t>https://ebookcentral.proquest.com/lib/viva-active/detail.action?docID=835656</t>
  </si>
  <si>
    <t>Splendid Land, Splendid People : The Chickasaw Indians to Removal</t>
  </si>
  <si>
    <t>Atkinson, James R.</t>
  </si>
  <si>
    <t>Chickasaw Indians -- History -- Sources. ; Chickasaw Indians -- Government relations. ; Chickasaw Indians -- Wars. ; Tombigbee River Valley (Miss. and Ala.) -- History -- Sources.</t>
  </si>
  <si>
    <t>https://ebookcentral.proquest.com/lib/viva-active/detail.action?docID=835662</t>
  </si>
  <si>
    <t>The Bioarchaeology of Virginia Burial Mounds</t>
  </si>
  <si>
    <t>Gold, Debra L.</t>
  </si>
  <si>
    <t>Monacan Indians -- Antiquities. ; Mounds -- Virginia. ; Human remains (Archaeology) -- Virginia. ; Virginia -- Antiquities.</t>
  </si>
  <si>
    <t>https://ebookcentral.proquest.com/lib/viva-active/detail.action?docID=835667</t>
  </si>
  <si>
    <t>The Calusa : Linguistic and Cultural Origins and Relationships</t>
  </si>
  <si>
    <t>Anthropological linguistics - Southern States</t>
  </si>
  <si>
    <t>https://ebookcentral.proquest.com/lib/viva-active/detail.action?docID=835668</t>
  </si>
  <si>
    <t>The Mound-Builders</t>
  </si>
  <si>
    <t>Shetrone, Henry;Lepper, Bradley T.</t>
  </si>
  <si>
    <t>Mound-builders -- United States. ; Mounds -- United States. ; Burial -- United States. ; Grave goods -- United States. ; United States -- Antiquities.</t>
  </si>
  <si>
    <t>https://ebookcentral.proquest.com/lib/viva-active/detail.action?docID=835675</t>
  </si>
  <si>
    <t>The Swift Creek Gift : Vessel Exchange on the Atlantic Coast</t>
  </si>
  <si>
    <t>Wallis, Neill J.</t>
  </si>
  <si>
    <t>Atlantic Coast (Fla.) - Antiquities</t>
  </si>
  <si>
    <t>https://ebookcentral.proquest.com/lib/viva-active/detail.action?docID=835681</t>
  </si>
  <si>
    <t>The Struggle for Legitimacy : Indigenized Englishes in Settler Schools</t>
  </si>
  <si>
    <t>Channel View Publications</t>
  </si>
  <si>
    <t>Critical Language and Literacy Studies</t>
  </si>
  <si>
    <t>Sterzuk, Andrea</t>
  </si>
  <si>
    <t>English language -- Variation -- Canada. ; English language -- Study and teaching. ; Education -- Canada.</t>
  </si>
  <si>
    <t>https://ebookcentral.proquest.com/lib/viva-active/detail.action?docID=837814</t>
  </si>
  <si>
    <t>Sustaining the Cherokee Family : Kinship and the Allotment of an Indigenous Nation</t>
  </si>
  <si>
    <t>Stremlau, Rose</t>
  </si>
  <si>
    <t>Cherokee Indians -- Land tenure. ; Cherokee Indians -- Cultural assimilation. ; Cherokee Indians -- Kinship. ; Allotment of land -- Government policy -- Cherokee Nation, Oklahoma. ; Cherokee Nation, Oklahoma -- History. ; Cherokee Nation, Oklahoma -- Social conditions. ; United States -- Social policy.</t>
  </si>
  <si>
    <t>https://ebookcentral.proquest.com/lib/viva-active/detail.action?docID=837893</t>
  </si>
  <si>
    <t>Disciplining the Savages : Savaging the Disciplines</t>
  </si>
  <si>
    <t>Aboriginal Studies Press</t>
  </si>
  <si>
    <t>Nakata, Martin</t>
  </si>
  <si>
    <t>Torres Strait Islanders -- Study and teaching. ; Ethnological expeditions -- Australia -- Torres Strait Islands (Qld.) -- History -- 19th century. ; Racism in anthropology -- Great Britain -- History -- 19th century. ; Ethnology -- Australia -- Torres Strait Islands (Qld.) -- Methodology -- Evaluation. ; Anthropology -- Research -- Australia -- Torres Strait Islands (Qld.) -- Evaluation. ; Torres Strait Islanders -- Education -- History. ; Torres Strait Islanders -- Education -- Philosophy.</t>
  </si>
  <si>
    <t>https://ebookcentral.proquest.com/lib/viva-active/detail.action?docID=838256</t>
  </si>
  <si>
    <t>Convincing Ground : Learning to Fall in Love with Your Country</t>
  </si>
  <si>
    <t>Pascoe, Bruce</t>
  </si>
  <si>
    <t>Aboriginal Australians, Treatment of -- History. ; Aboriginal Australians -- Government relations -- History. ; Aboriginal Australians -- Ethnic identity. ; Australia -- Race relations -- History. ; Australia -- Colonization -- History.</t>
  </si>
  <si>
    <t>https://ebookcentral.proquest.com/lib/viva-active/detail.action?docID=838262</t>
  </si>
  <si>
    <t>White Christ Black Cross : The Emergence of a Black Church</t>
  </si>
  <si>
    <t>Loos, Noel</t>
  </si>
  <si>
    <t>Christianity and culture -- Australia -- History. ; Aboriginal Australians -- Missions -- Australia. ; Aboriginal Australians -- Religion.</t>
  </si>
  <si>
    <t>https://ebookcentral.proquest.com/lib/viva-active/detail.action?docID=838864</t>
  </si>
  <si>
    <t>Dialogue About Land Justice : Papers from the National Native Title Conferences</t>
  </si>
  <si>
    <t>Strelein, Lisa</t>
  </si>
  <si>
    <t>Law; Political Science</t>
  </si>
  <si>
    <t>Native title (Australia) ; Aboriginal Australians -- Land tenure. ; Aboriginal Australians -- Government relations. ; Aboriginal Australians -- Politics and government. ; Aboriginal Australians -- Legal status, laws, etc. ; Land tenure -- Law and legislation -- Australia -- History. ; Australia -- Colonization -- History.</t>
  </si>
  <si>
    <t>https://ebookcentral.proquest.com/lib/viva-active/detail.action?docID=840037</t>
  </si>
  <si>
    <t>Pawnee Mission Letters, 1834-1851</t>
  </si>
  <si>
    <t>UNP - Nebraska Paperback</t>
  </si>
  <si>
    <t>Jensen, Richard E.</t>
  </si>
  <si>
    <t>Parker, Samuel, -- 1779-1866 -- Correspondence. ; Dunbar, John, -- 1804-1857 -- Correspondence. ; Allis, Samuel, -- 1805-1883 -- Correspondence. ; Pawnee Indians -- History -- 19th century -- Sources. ; Pawnee Indians -- Missions -- Nebraska -- Loup River -- History -- 19th century -- Sources. ; Missionaries -- Nebraska -- Loup River -- Correspondence. ; Whites -- Nebraska -- Loup River -- Correspondence.</t>
  </si>
  <si>
    <t>https://ebookcentral.proquest.com/lib/viva-active/detail.action?docID=842580</t>
  </si>
  <si>
    <t>The Other Movement : Indian Rights and Civil Rights in the Deep South</t>
  </si>
  <si>
    <t>Bates, Denise E.</t>
  </si>
  <si>
    <t>Indian activists - Southern States - History</t>
  </si>
  <si>
    <t>https://ebookcentral.proquest.com/lib/viva-active/detail.action?docID=842860</t>
  </si>
  <si>
    <t>A Sourcebook of Nasca Ceramic Iconography : Reading a Culture through Its Art</t>
  </si>
  <si>
    <t>University of Iowa Press</t>
  </si>
  <si>
    <t>Proulx, Donald A.</t>
  </si>
  <si>
    <t>Idols and images - Peru</t>
  </si>
  <si>
    <t>https://ebookcentral.proquest.com/lib/viva-active/detail.action?docID=843209</t>
  </si>
  <si>
    <t>Frontier Forts of Iowa : Indians, Traders, and Soldiers, 1682-1862</t>
  </si>
  <si>
    <t>Bur Oak Book</t>
  </si>
  <si>
    <t>Whittaker, William E.</t>
  </si>
  <si>
    <t>Fortification -- Iowa. ; Historic sites -- Iowa. ; Frontier and pioneer life -- Iowa. ; Indians of North America -- Iowa -- History. ; Iowa -- Antiquities. ; Iowa -- History, Military -- 19th century.</t>
  </si>
  <si>
    <t>https://ebookcentral.proquest.com/lib/viva-active/detail.action?docID=843235</t>
  </si>
  <si>
    <t>The Indians of Iowa</t>
  </si>
  <si>
    <t>Foster, Lance M.</t>
  </si>
  <si>
    <t>Indians of North America - Iowa - History</t>
  </si>
  <si>
    <t>https://ebookcentral.proquest.com/lib/viva-active/detail.action?docID=843283</t>
  </si>
  <si>
    <t>The Life and Writings of Julio C. Tello : America's First Indigenous Archaeologist</t>
  </si>
  <si>
    <t>Burger, Richard L.</t>
  </si>
  <si>
    <t>Tello, Julio C. -- (Julio César), -- 1880-1947. ; Indians of South America -- Peru -- Antiquities. ; Archaeologists -- Peru -- Biography. ; Peru -- Antiquities.</t>
  </si>
  <si>
    <t>https://ebookcentral.proquest.com/lib/viva-active/detail.action?docID=843284</t>
  </si>
  <si>
    <t>The Indigenous Languages of South America : A Comprehensive Guide</t>
  </si>
  <si>
    <t>The World of Linguistics Ser.</t>
  </si>
  <si>
    <t>Campbell, Lyle;Grondona, Verónica;Grondona, Verónica</t>
  </si>
  <si>
    <t>Indians of South America -- Languages. ; Endangered languages. ; Language and culture.</t>
  </si>
  <si>
    <t>https://ebookcentral.proquest.com/lib/viva-active/detail.action?docID=848967</t>
  </si>
  <si>
    <t>Indian Voices : Listening to Native Americans</t>
  </si>
  <si>
    <t>Owings, Alison</t>
  </si>
  <si>
    <t>Indians of North America -- Ethnic identity. ; Indians of North America -- Social conditions. ; Indians of North America -- Cultural assimilation. ; Indians, Treatment of -- North America. ; Indians of North America -- Biography.</t>
  </si>
  <si>
    <t>https://ebookcentral.proquest.com/lib/viva-active/detail.action?docID=849484</t>
  </si>
  <si>
    <t>Pablo Tac, Indigenous Scholar : Writing on Luiseño Language and Colonial History, C. 1840</t>
  </si>
  <si>
    <t>Haas, Lisbeth;Tac, Pablo;Haas, Lisbeth</t>
  </si>
  <si>
    <t>Tac, Pablo, -- 1822-1841. ; Luiseño Indians -- California -- Biography. ; Indian scholars -- California -- Biography. ; Luiseño Indians -- History. ; Luiseño language -- Grammar. ; Luiseño language -- Dictionaries.</t>
  </si>
  <si>
    <t>https://ebookcentral.proquest.com/lib/viva-active/detail.action?docID=860287</t>
  </si>
  <si>
    <t>Spaces between Us : Queer Settler Colonialism and Indigenous Decolonization</t>
  </si>
  <si>
    <t>Morgensen, Scott Lauria</t>
  </si>
  <si>
    <t>Indian gays -- History. ; Indian gays -- Colonization. ; Frontier and pioneer life -- United States -- History. ; Colonists -- Sexual behavior -- United States. ; Two-spirit people -- United States -- History. ; Radical Faeries (New Age movement) ; Decolonization -- United States -- History.</t>
  </si>
  <si>
    <t>https://ebookcentral.proquest.com/lib/viva-active/detail.action?docID=863815</t>
  </si>
  <si>
    <t>Emergence and Collapse of Early Villages : Models of Central Mesa Verde Archaeology</t>
  </si>
  <si>
    <t>Origins of Human Behavior and Culture Ser.</t>
  </si>
  <si>
    <t>Kohler, Timothy A.;Varien, Mark D.</t>
  </si>
  <si>
    <t>Pueblo Indians -- Colorado -- Mesa Verde National Park -- History. ; Pueblo Indians -- Agricuture -- Colorado -- Mesa Verde National Park. ; Pueblo Indians -- Colorado -- Mesa Verde National Park -- Antiquities. ; Mesa Verde National Park (Colo.) -- Antiquities.</t>
  </si>
  <si>
    <t>https://ebookcentral.proquest.com/lib/viva-active/detail.action?docID=867686</t>
  </si>
  <si>
    <t>Across Atlantic Ice : The Origin of America's Clovis Culture</t>
  </si>
  <si>
    <t>Stanford, Dennis J.;Bradley, Bruce A.;Collins, Michael B</t>
  </si>
  <si>
    <t>Clovis culture</t>
  </si>
  <si>
    <t>https://ebookcentral.proquest.com/lib/viva-active/detail.action?docID=868339</t>
  </si>
  <si>
    <t>Cultural Genocide</t>
  </si>
  <si>
    <t>Genocide, Political Violence, Human Rights Ser.</t>
  </si>
  <si>
    <t>Davidson, Lawrence;Davidson, Prof Lawrence</t>
  </si>
  <si>
    <t>Persecution - Social aspects</t>
  </si>
  <si>
    <t>https://ebookcentral.proquest.com/lib/viva-active/detail.action?docID=871841</t>
  </si>
  <si>
    <t>Bureau of Indian Affairs</t>
  </si>
  <si>
    <t>Landmarks of the American Mosaic Ser.</t>
  </si>
  <si>
    <t>Fixico, Donald L.</t>
  </si>
  <si>
    <t>Indians of North America - Government relations - 1869-1934</t>
  </si>
  <si>
    <t>https://ebookcentral.proquest.com/lib/viva-active/detail.action?docID=877582</t>
  </si>
  <si>
    <t>Crossing Mountains : Native American Language Education in Public Schools</t>
  </si>
  <si>
    <t>Ngai, Phyllis</t>
  </si>
  <si>
    <t>Public schools - Montana</t>
  </si>
  <si>
    <t>https://ebookcentral.proquest.com/lib/viva-active/detail.action?docID=878280</t>
  </si>
  <si>
    <t>Peace Came in the Form of a Woman : Indians and Spaniards in the Texas Borderlands</t>
  </si>
  <si>
    <t>Barr, Juliana</t>
  </si>
  <si>
    <t>Indians of North America -- Texas -- History -- 18th century. ; Indian captivities -- Texas -- History -- 18th century. ; Spaniards -- Texas -- History -- 18th century. ; Missions, Spanish -- Texas -- History -- 18th century. ; Women and peace -- Texas -- History -- 18th century. ; Women -- Texas -- Social conditions -- 18th century. ; Diplomacy -- Texas -- History -- 18th century.</t>
  </si>
  <si>
    <t>https://ebookcentral.proquest.com/lib/viva-active/detail.action?docID=880038</t>
  </si>
  <si>
    <t>Making Home Work : Domesticity and Native American Assimilation in the American West, 1860-1919</t>
  </si>
  <si>
    <t>The University of North Carolina Press</t>
  </si>
  <si>
    <t>Simonsen, Jane E.</t>
  </si>
  <si>
    <t>Arts and society -- West (U.S.) -- History -- 19th century. ; Arts and society -- West (U.S.) -- History -- 20th century. ; Home economics -- Cross-cultural studies. ; Social values -- West (U.S.) ; Women -- West (U.S.) -- Social conditions. ; Indian women -- Cultural assimilation -- West (U.S.)</t>
  </si>
  <si>
    <t>https://ebookcentral.proquest.com/lib/viva-active/detail.action?docID=880414</t>
  </si>
  <si>
    <t>The Rise of Ethnic Politics in Latin America</t>
  </si>
  <si>
    <t>Madrid, Raúl L.</t>
  </si>
  <si>
    <t>Indians of Central America -- Politics and government. ; Indians of South America -- Politics and government. ; Political parties -- Central America. ; Political parties -- South America. ; Central America -- Ethnic relations -- Political aspects. ; South America -- Ethnic relations -- Political aspects.</t>
  </si>
  <si>
    <t>https://ebookcentral.proquest.com/lib/viva-active/detail.action?docID=880683</t>
  </si>
  <si>
    <t>Indigenous Peoples, Poverty, and Development</t>
  </si>
  <si>
    <t>Hall, Gillette H.;Patrinos, Harry Anthony</t>
  </si>
  <si>
    <t>Indigenous peoples -- Economic conditions. ; Indigenous peoples -- Government relations. ; Indigenous peoples -- Social conditions. ; Poverty -- Cross-cultural studies.</t>
  </si>
  <si>
    <t>https://ebookcentral.proquest.com/lib/viva-active/detail.action?docID=880764</t>
  </si>
  <si>
    <t>Tourist State : Performing Leisure, Liberalism, and Race in New Zealand</t>
  </si>
  <si>
    <t>A Quadrant Book</t>
  </si>
  <si>
    <t>Werry, Margaret</t>
  </si>
  <si>
    <t>Social Science; Tourism/Hospitality</t>
  </si>
  <si>
    <t>Leisure -- New Zealand. ; Liberalism -- New Zealand. ; Maori (New Zealand people) -- Social conditions. ; National characteristics, New Zealand. ; Tourism -- Political aspects -- New Zealand. ; Tourism -- Social aspects -- New Zealand. ; New Zealand -- Race relations.</t>
  </si>
  <si>
    <t>https://ebookcentral.proquest.com/lib/viva-active/detail.action?docID=883503</t>
  </si>
  <si>
    <t>Hippies, Indians, and the Fight for Red Power</t>
  </si>
  <si>
    <t>Smith, Sherry L. (Sherry Lynn)</t>
  </si>
  <si>
    <t>Church work with Indians - United States - History - 20th century</t>
  </si>
  <si>
    <t>https://ebookcentral.proquest.com/lib/viva-active/detail.action?docID=886589</t>
  </si>
  <si>
    <t>Stone Artifacts of Texas Indians</t>
  </si>
  <si>
    <t>Taylor Trade Publishing</t>
  </si>
  <si>
    <t xml:space="preserve">Turner, Ellen Sue;Hester, Thomas R.;McReynolds, Richard L.;Shafer, Harry J. ;McReynolds, Richard L. </t>
  </si>
  <si>
    <t>Stone implements - Texas</t>
  </si>
  <si>
    <t>https://ebookcentral.proquest.com/lib/viva-active/detail.action?docID=893069</t>
  </si>
  <si>
    <t>Proto Utian Grammar and Dictionary : With Notes on Yokuts</t>
  </si>
  <si>
    <t>Trends in Linguistics. Documentation [TiLDOC] Ser.</t>
  </si>
  <si>
    <t>Callaghan, Catherine</t>
  </si>
  <si>
    <t>Yokuts language.</t>
  </si>
  <si>
    <t>https://ebookcentral.proquest.com/lib/viva-active/detail.action?docID=893580</t>
  </si>
  <si>
    <t>Once Were Pacific : Maori Connections to Oceania</t>
  </si>
  <si>
    <t>Somerville, Alice Te Punga</t>
  </si>
  <si>
    <t>Maori (New Zealand people) -- Ethnic identity. ; Indigenous peoples -- Oceania -- History. ; Maori (New Zealand people) -- Migrations -- History. ; Regionalism -- Oceania. ; Maori (New Zealand people) -- Intellectual life. ; New Zealand literature -- Maori authors -- History and criticism. ; Oceania -- Ethnic relations.</t>
  </si>
  <si>
    <t>https://ebookcentral.proquest.com/lib/viva-active/detail.action?docID=902562</t>
  </si>
  <si>
    <t>Chan : An Ancient Maya Farming Community</t>
  </si>
  <si>
    <t>Maya Studies</t>
  </si>
  <si>
    <t>Robin, Cynthia</t>
  </si>
  <si>
    <t>Mayas - Land tenure - Belize River Valley (Guatemala and Belize)</t>
  </si>
  <si>
    <t>https://ebookcentral.proquest.com/lib/viva-active/detail.action?docID=906677</t>
  </si>
  <si>
    <t>Indigenous Rights in the Age of the UN Declaration</t>
  </si>
  <si>
    <t xml:space="preserve">Pulitano, Elvira;Pulitano, Dr Elvira </t>
  </si>
  <si>
    <t>United Nations. -- General Assembly. -- Declaration on the Rights of Indigenous Peoples. ; Indigenous peoples (International law) ; Indigenous peoples -- Civil rights. ; Indigenous peoples -- Legal status, laws, etc.</t>
  </si>
  <si>
    <t>https://ebookcentral.proquest.com/lib/viva-active/detail.action?docID=907170</t>
  </si>
  <si>
    <t>Human Impacts on Amazonia : The Role of Traditional Ecological Knowledge in Conservation and Development</t>
  </si>
  <si>
    <t>Columbia University Press</t>
  </si>
  <si>
    <t>Biology and Resource Management Series</t>
  </si>
  <si>
    <t>Posey, Darrell;Balick, Michael</t>
  </si>
  <si>
    <t>Economics; Environmental Studies</t>
  </si>
  <si>
    <t>Amazon River Region - Environmental conditions</t>
  </si>
  <si>
    <t>https://ebookcentral.proquest.com/lib/viva-active/detail.action?docID=908625</t>
  </si>
  <si>
    <t>The Columbia Guide to American Indians of the Southwest</t>
  </si>
  <si>
    <t>The Columbia Guides to American Indian History and Culture</t>
  </si>
  <si>
    <t>Griffin-Pierce, Trudy</t>
  </si>
  <si>
    <t>Indians of North America - Southwest, New - History.</t>
  </si>
  <si>
    <t>https://ebookcentral.proquest.com/lib/viva-active/detail.action?docID=908661</t>
  </si>
  <si>
    <t>Contemporary Issues in California Archaeology</t>
  </si>
  <si>
    <t>Jones, Terry L.;Perry, Jennifer E.</t>
  </si>
  <si>
    <t>California - Antiquities</t>
  </si>
  <si>
    <t>https://ebookcentral.proquest.com/lib/viva-active/detail.action?docID=911815</t>
  </si>
  <si>
    <t>All Indians Do Not Live in Teepees (or Casinos)</t>
  </si>
  <si>
    <t>UNP - Bison Original</t>
  </si>
  <si>
    <t>Robbins, Catherine C.</t>
  </si>
  <si>
    <t>Indians of North America -- Social life and customs. ; Indians of North America -- Material culture. ; United States -- Social life and customs.</t>
  </si>
  <si>
    <t>https://ebookcentral.proquest.com/lib/viva-active/detail.action?docID=915027</t>
  </si>
  <si>
    <t>First Nations, Identity, and Reserve Life : The Mi'kmaq of Nova Scotia</t>
  </si>
  <si>
    <t>Poliandri, Simone</t>
  </si>
  <si>
    <t>Indian Brook First Nation -- History. ; Micmac Indians -- Nova Scotia -- Truro Region -- History. ; Micmac Indians -- Nova Scotia -- Truro Region -- Ethnic identity. ; Micmac Indians -- Nova Scotia -- Truro Region -- Social life and customs. ; Indian reservations -- Nova Scotia -- Truro Region -- History. ; Truro Region (N.S.) -- History. ; Truro Region (N.S.) -- Social life and customs.</t>
  </si>
  <si>
    <t>https://ebookcentral.proquest.com/lib/viva-active/detail.action?docID=915040</t>
  </si>
  <si>
    <t>Native Acts : Indian Performance, 1603-1832</t>
  </si>
  <si>
    <t>Bellin, Joshua David;Mielke, Laura L.;Deloria, Philip J.</t>
  </si>
  <si>
    <t>Brownian motion processes. ; Potential theory (Mathematics)</t>
  </si>
  <si>
    <t>https://ebookcentral.proquest.com/lib/viva-active/detail.action?docID=915041</t>
  </si>
  <si>
    <t>Plays on "The Indian" : Knowledge, Desire, and Play in Indianist Reenactment</t>
  </si>
  <si>
    <t>Kalshoven, Petra Tjitske</t>
  </si>
  <si>
    <t>Indians of North America -- History. ; Indians of North America -- Public opinion. ; Indians of North America -- Social life and customs. ; Indians in popular culture. ; Historical reenactments. ; Indianists.</t>
  </si>
  <si>
    <t>https://ebookcentral.proquest.com/lib/viva-active/detail.action?docID=915504</t>
  </si>
  <si>
    <t>Murder State : California's Native American Genocide, 1846-1873</t>
  </si>
  <si>
    <t>Lindsay, Brendan C.</t>
  </si>
  <si>
    <t>Indians of North America -- California -- History -- 19th century. ; Indians of North America -- Crimes against -- California. ; Indians of North America -- California -- Government relations. ; Genocide -- California -- History -- 19th century. ; California -- Race relations. ; California -- History -- 19th century.</t>
  </si>
  <si>
    <t>https://ebookcentral.proquest.com/lib/viva-active/detail.action?docID=915522</t>
  </si>
  <si>
    <t>Tales of the Old Indian Territory and Essays on the Indian Condition</t>
  </si>
  <si>
    <t>American Indian Lives</t>
  </si>
  <si>
    <t>Oskison, John Milton;Larre, Lionel</t>
  </si>
  <si>
    <t>Oskison, John M. -- (John Milton), -- b. 1874. ; Cherokee Indians -- Biography. ; Indian authors -- Biography. ; Cherokee Indians -- Fiction. ; Indian Territory -- History -- Fiction.</t>
  </si>
  <si>
    <t>https://ebookcentral.proquest.com/lib/viva-active/detail.action?docID=915523</t>
  </si>
  <si>
    <t>A Thrilling Narrative of Indian Captivity : Dispatches from the Dakota War</t>
  </si>
  <si>
    <t>Renville, Mary Butler;Derounian-Stodola, Kathryn Zabelle;Zeman, Carrie Reber</t>
  </si>
  <si>
    <t>Renville, Mary Butler, -- 1830-1895. ; Dakota Indians -- Wars, 1862-1865 -- Personal narratives. ; Indian captivities -- Minnesota.</t>
  </si>
  <si>
    <t>https://ebookcentral.proquest.com/lib/viva-active/detail.action?docID=915524</t>
  </si>
  <si>
    <t>Chiricahua and Janos : Communities of Violence in the Southwestern Borderlands, 1680-1880</t>
  </si>
  <si>
    <t>Borderlands and Transcultural Studies</t>
  </si>
  <si>
    <t>Blyth, Lance R.</t>
  </si>
  <si>
    <t>Chiricahua Indians -- Mexico -- Janos -- History. ; Chiricahua Indians -- Mexico -- Janos -- Government relations. ; Chiricahua Indians -- Violence against -- Mexico -- Janos. ; Violence -- Social aspects -- Mexico -- Janos. ; Janos (Mexico) -- History. ; Janos (Mexico) -- Race relations. ; Janos (Mexico) -- Politics and government.</t>
  </si>
  <si>
    <t>https://ebookcentral.proquest.com/lib/viva-active/detail.action?docID=928347</t>
  </si>
  <si>
    <t>Navajo Talking Picture : Cinema on Native Ground</t>
  </si>
  <si>
    <t>Lewis, Randolph</t>
  </si>
  <si>
    <t>Bowman, Arlene -- Criticism and interpretation. ; Navajo talking picture (Motion picture) ; Navajo Indians -- Social life and customs. ; Ethnographic films.</t>
  </si>
  <si>
    <t>https://ebookcentral.proquest.com/lib/viva-active/detail.action?docID=928348</t>
  </si>
  <si>
    <t>Defying Maliseet Language Death : Emergent Vitalities of Language, Culture, and Identity in Eastern Canada</t>
  </si>
  <si>
    <t>Perley, Bernard C.</t>
  </si>
  <si>
    <t>Passamaquoddy language -- New Brunswick -- Tobique Indian Reserve -- History. ; Passamaquoddy language -- New Brunswick -- Tobique Indian Reserve -- Revival. ; Language obsolescence -- New Brunswick -- Tobique Indian Reserve. ; Language and culture -- New Brunswick -- Tobique Indian Reserve. ; Communication and culture -- New Brunswick -- Tobique Indian Reserve. ; Tobique Indian Reserve (N.B.) -- History. ; Tobique Indian Reserve (N.B.) -- Social life and customs.</t>
  </si>
  <si>
    <t>https://ebookcentral.proquest.com/lib/viva-active/detail.action?docID=928351</t>
  </si>
  <si>
    <t>Topic and Discourse Structure in West Greenlandic Agreement Constructions</t>
  </si>
  <si>
    <t>Berge, Anna</t>
  </si>
  <si>
    <t>Kalâtdlisut dialect -- Discourse analysis. ; Kalâtdlisut dialect -- Syntax.</t>
  </si>
  <si>
    <t>https://ebookcentral.proquest.com/lib/viva-active/detail.action?docID=928355</t>
  </si>
  <si>
    <t>Navigating Power : Cross-Cultural Competence in Navajo Land</t>
  </si>
  <si>
    <t>Debebe, Gelaye</t>
  </si>
  <si>
    <t>Social interaction - United States</t>
  </si>
  <si>
    <t>https://ebookcentral.proquest.com/lib/viva-active/detail.action?docID=928500</t>
  </si>
  <si>
    <t>Tourism in Northeastern Argentina : The Intersection of Human and Indigenous Rights with the Environment</t>
  </si>
  <si>
    <t>Seymoure, Penny;Roberg, Jeffrey L.</t>
  </si>
  <si>
    <t>Tourism/Hospitality; Economics</t>
  </si>
  <si>
    <t>Indigenous peoples - Argentina - Civil rights</t>
  </si>
  <si>
    <t>https://ebookcentral.proquest.com/lib/viva-active/detail.action?docID=928513</t>
  </si>
  <si>
    <t>The Woman Who Loved Mankind : The Life of a Twentieth-Century Crow Elder</t>
  </si>
  <si>
    <t>Hogan, Lillian Bullshows;Loeb, Barbara;Plainfeather, Mardell Hogan</t>
  </si>
  <si>
    <t>Hogan, Lillian Bullshows, -- 1904-2003. ; Crow women -- Biography. ; Crow Indians -- History. ; Crow Indians -- Social life and customs.</t>
  </si>
  <si>
    <t>https://ebookcentral.proquest.com/lib/viva-active/detail.action?docID=931664</t>
  </si>
  <si>
    <t>White Enough to Be American? : Race Mixing, Indigenous People, and the Boundaries of State and Nation</t>
  </si>
  <si>
    <t>Basson, Lauren L.</t>
  </si>
  <si>
    <t>Indians of North America -- Mixed descent -- Legal status, laws, etc. -- History. ; Racially mixed people -- Legal status, laws, etc. -- United States -- History. ; Racially mixed people -- Legal status, laws, etc. -- Hawaii -- History. ; Indians of North America -- Government relations -- History. ; Indians of North America -- Land tenure -- History. ; Miscegenation -- Political aspects -- United States -- History. ; European Americans -- Attitudes -- History.</t>
  </si>
  <si>
    <t>https://ebookcentral.proquest.com/lib/viva-active/detail.action?docID=934389</t>
  </si>
  <si>
    <t>On the Borders of Love and Power : Families and Kinship in the Intercultural American Southwest</t>
  </si>
  <si>
    <t>Adams, David Wallace;DeLuzio, Crista</t>
  </si>
  <si>
    <t>Indians of North America -- Kinship -- West (U.S.) ; Indians of North America -- Cultural assimilation -- West (U.S.) ; Hispanic Americans -- Kinship -- West (U.S.) ; Hispanic Americans -- Cultural assimilation -- West (U.S.) ; Frontier and pioneer life -- West (U.S.) -- History. ; Families -- West (U.S.) -- History. ; Kinship -- West (U.S.) -- History.</t>
  </si>
  <si>
    <t>https://ebookcentral.proquest.com/lib/viva-active/detail.action?docID=934483</t>
  </si>
  <si>
    <t>Learning Indigenous Languages: Child Language Acquisition in Mesoamerica</t>
  </si>
  <si>
    <t>Studies on Language Acquisition [SOLA] Ser.</t>
  </si>
  <si>
    <t>Pfeiler, Barbara</t>
  </si>
  <si>
    <t>Language acquisition. ; Indians of Central America -- Languages.</t>
  </si>
  <si>
    <t>https://ebookcentral.proquest.com/lib/viva-active/detail.action?docID=936579</t>
  </si>
  <si>
    <t>Converging Worlds : Communities and Cultures in Colonial America</t>
  </si>
  <si>
    <t>Breen, Louise A.</t>
  </si>
  <si>
    <t>Europeans - America - History</t>
  </si>
  <si>
    <t>https://ebookcentral.proquest.com/lib/viva-active/detail.action?docID=957877</t>
  </si>
  <si>
    <t>Community-Based Archaeology : Research with, by, and for Indigenous and Local Communities</t>
  </si>
  <si>
    <t>Atalay, Sonya</t>
  </si>
  <si>
    <t>Community archaeology -- United States. ; Archaeology -- Social aspects -- United States. ; Indians of North America -- Antiquities -- Conservation and restoration. ; Cultural property -- Protection -- United States.</t>
  </si>
  <si>
    <t>https://ebookcentral.proquest.com/lib/viva-active/detail.action?docID=962591</t>
  </si>
  <si>
    <t>California Indians and Their Environment : An Introduction</t>
  </si>
  <si>
    <t>California Natural History Guides</t>
  </si>
  <si>
    <t xml:space="preserve">Lightfoot, Kent;Parrish, Otis;Parrish, Dr Otis </t>
  </si>
  <si>
    <t>Science: General; History</t>
  </si>
  <si>
    <t>California - Environmental conditions - History</t>
  </si>
  <si>
    <t>https://ebookcentral.proquest.com/lib/viva-active/detail.action?docID=967036</t>
  </si>
  <si>
    <t>Reparations for Indigenous Peoples : International and Comparative Perspectives</t>
  </si>
  <si>
    <t>Lenzerini, Federico</t>
  </si>
  <si>
    <t>Indigenous peoples -- Legal status, laws, etc. ; Indigenous peoples (International law) ; Indigenous peoples -- Reparations. ; Reparations for historical injustices.</t>
  </si>
  <si>
    <t>https://ebookcentral.proquest.com/lib/viva-active/detail.action?docID=975651</t>
  </si>
  <si>
    <t>Warriors Without War : Seminole Leadership in the Late Twentieth Century</t>
  </si>
  <si>
    <t>Gambling on Indian reservations - Oklahoma - History - 20th century</t>
  </si>
  <si>
    <t>https://ebookcentral.proquest.com/lib/viva-active/detail.action?docID=976616</t>
  </si>
  <si>
    <t>Chosen People, a Promised Land : Mormonism and Race in Hawai'i</t>
  </si>
  <si>
    <t>Aikau, Hokulani K.</t>
  </si>
  <si>
    <t>Engineering -- Societies, etc. -- Congresses. ; Intelligent agents (Computer software) -- Congresses. ; Software engineering -- Congresses.</t>
  </si>
  <si>
    <t>https://ebookcentral.proquest.com/lib/viva-active/detail.action?docID=976974</t>
  </si>
  <si>
    <t>Sculpture and Social Dynamics in Preclassic Mesoamerica</t>
  </si>
  <si>
    <t>Guernsey, Julia</t>
  </si>
  <si>
    <t>Maya sculpture. ; Olmec sculpture. ; Indian sculpture -- Mexico. ; Indian sculpture -- Central America.</t>
  </si>
  <si>
    <t>https://ebookcentral.proquest.com/lib/viva-active/detail.action?docID=977171</t>
  </si>
  <si>
    <t>Youth Culture, Language Endangerment and Linguistic Survivance : Legal, Historical and Current Practices in SEI</t>
  </si>
  <si>
    <t>Bilingual Education &amp; Bilingualism</t>
  </si>
  <si>
    <t>Wyman, Leisy</t>
  </si>
  <si>
    <t>Alaska - Languages</t>
  </si>
  <si>
    <t>https://ebookcentral.proquest.com/lib/viva-active/detail.action?docID=977758</t>
  </si>
  <si>
    <t>Forests and People : Property, Governance, and Human Rights</t>
  </si>
  <si>
    <t>Sikor, Thomas;Stahl, Johannes</t>
  </si>
  <si>
    <t>Forest people - Government relations</t>
  </si>
  <si>
    <t>https://ebookcentral.proquest.com/lib/viva-active/detail.action?docID=978945</t>
  </si>
  <si>
    <t>A Reference Grammar of Wappo</t>
  </si>
  <si>
    <t>UC Publications in Linguistics Ser.</t>
  </si>
  <si>
    <t>Thompson, Sandra A.;Park, Joseph Sung-Yul;Li, Charles N.;Park, Joseph Sung-Yul</t>
  </si>
  <si>
    <t>Wappo dialect -- Grammar.</t>
  </si>
  <si>
    <t>https://ebookcentral.proquest.com/lib/viva-active/detail.action?docID=980021</t>
  </si>
  <si>
    <t>The Columbia Guide to American Indian Literatures of the United States Since 1945</t>
  </si>
  <si>
    <t>The Columbia Guides to Literature Since 1945</t>
  </si>
  <si>
    <t xml:space="preserve">Cheyfitz, Eric;Blaeser, Kimberly M. ;Elliott, Michael A. ;Huhndorf, Shari M. ;Johnson, Kendall ;Krupat, Arnold ;Murray, David </t>
  </si>
  <si>
    <t>Literature; Fiction</t>
  </si>
  <si>
    <t>American literature -- Indian authors -- History and criticism. ; American literature -- 20th century -- History and criticism. ; Indians of North America -- Intellectual life. ; Identity (Psychology) in literature. ; Postcolonialism in literature. ; Imperialism in literature. ; Indians in literature.</t>
  </si>
  <si>
    <t>https://ebookcentral.proquest.com/lib/viva-active/detail.action?docID=991212</t>
  </si>
  <si>
    <t>Tohopeka : Rethinking the Creek War and the War Of 1812</t>
  </si>
  <si>
    <t>Abram, Susan M.;Collins, Robert P.;Dowd, Gregory Evans;Grenier, John E.;Heidler, David S.;Heidler, Jeanne T.;Isham, Ted;Jensen, Ove;Kanon, Tom;Lamar, Jay</t>
  </si>
  <si>
    <t>Horseshoe Bend, Battle of, Ala., 1814</t>
  </si>
  <si>
    <t>https://ebookcentral.proquest.com/lib/viva-active/detail.action?docID=997593</t>
  </si>
  <si>
    <t>Contemporary Lithic Analysis in the Southeast : Problems, Solutions, and Interpretations</t>
  </si>
  <si>
    <t>Carr, Philip J.;Bradbury, Andrew P.;Price, Sarah E.;Andrefsky, William, Jr.;Conklin, Carolyn;Cooper, D. Randall;Edmonds, Jason L.;Franklin, Jay D.;Goodyear, Albert C.;Hardison, Joël</t>
  </si>
  <si>
    <t>Stone implements - Southern States - Analysis</t>
  </si>
  <si>
    <t>https://ebookcentral.proquest.com/lib/viva-active/detail.action?docID=999511</t>
  </si>
  <si>
    <t>Burst of Breath : Indigenous Ritual Wind Instruments in Lowland South America</t>
  </si>
  <si>
    <t xml:space="preserve">Hill, Jonathan  David;Chaumeil, Jean-Pierre;DeMallie, Raymond J. </t>
  </si>
  <si>
    <t>Indians of South America -- Music -- History and criticism. ; Wind instruments -- South America. ; Indians of South America -- Rites and ceremonies.</t>
  </si>
  <si>
    <t>https://ebookcentral.proquest.com/lib/viva-active/detail.action?docID=1000307</t>
  </si>
  <si>
    <t>Space and the Production of Cultural Difference among the Akha Prior to Globalization : Channeling the Flow of Life</t>
  </si>
  <si>
    <t>Amsterdam University Press</t>
  </si>
  <si>
    <t>ICAS Publications</t>
  </si>
  <si>
    <t>Tooker, Deborah E.</t>
  </si>
  <si>
    <t>Akha (Southeast Asian people) ; Ethnology -- Southeast Asia.</t>
  </si>
  <si>
    <t>https://ebookcentral.proquest.com/lib/viva-active/detail.action?docID=1002954</t>
  </si>
  <si>
    <t>Brothers in Arms, Partners in Trade : Dutch-Indigenous Alliances in the Atlantic World, 1595-1674</t>
  </si>
  <si>
    <t>The Atlantic World Ser.</t>
  </si>
  <si>
    <t>Meuwese, Mark</t>
  </si>
  <si>
    <t>Business/Management</t>
  </si>
  <si>
    <t>West-Indische Compagnie (Netherlands) -- History. ; Dutch -- History -- 17th century. ; Indigenous peoples -- America -- History -- 17th century. ; Indigenous peoples -- Africa, West -- History -- 17th century. ; Netherlands -- Commerce -- America -- History -- 17th century. ; America -- Commerce -- Netherlands -- History -- 17th century. ; Netherlands -- Commerce -- Africa, West -- History -- 17th century.</t>
  </si>
  <si>
    <t>https://ebookcentral.proquest.com/lib/viva-active/detail.action?docID=1010538</t>
  </si>
  <si>
    <t>Indifferent Inclusion : Aboriginal People and the Australian Nation</t>
  </si>
  <si>
    <t>McGregor, Russell</t>
  </si>
  <si>
    <t>Biomechanics -- Measurement. ; Optical measurements.</t>
  </si>
  <si>
    <t>https://ebookcentral.proquest.com/lib/viva-active/detail.action?docID=1011430</t>
  </si>
  <si>
    <t>Belonging Together : Dealing with the Politics of Disenchantment in Australian Indigenous Affairs Policy</t>
  </si>
  <si>
    <t>Sullivan, Patrick</t>
  </si>
  <si>
    <t>Human-computer interaction -- Congresses. ; User interfaces (Computer systems) -- Congresses.</t>
  </si>
  <si>
    <t>https://ebookcentral.proquest.com/lib/viva-active/detail.action?docID=1011433</t>
  </si>
  <si>
    <t>Lone Protestor : AM Fernando in Australia and Europe</t>
  </si>
  <si>
    <t>Paisley, Fiona</t>
  </si>
  <si>
    <t>Anaphora (Linguistics) -- Congresses. ; Discourse analysis -- Congresses.</t>
  </si>
  <si>
    <t>https://ebookcentral.proquest.com/lib/viva-active/detail.action?docID=1020885</t>
  </si>
  <si>
    <t>Yuchi Indian Histories Before the Removal Era</t>
  </si>
  <si>
    <t>Jackson, Jason Baird;Jackson, Jason Baird</t>
  </si>
  <si>
    <t>Yuchi Indians -- History. ; Yuchi Indians -- Social conditions. ; Yuchi Indians -- Social life and customs.</t>
  </si>
  <si>
    <t>https://ebookcentral.proquest.com/lib/viva-active/detail.action?docID=1021441</t>
  </si>
  <si>
    <t>Cultural Tourism and Identity : Rethinking Indigeneity</t>
  </si>
  <si>
    <t>Afrika-Studiecentrum Ser.</t>
  </si>
  <si>
    <t>Tomaselli, Keyan G.</t>
  </si>
  <si>
    <t>Economics; Business/Management; Geography/Travel</t>
  </si>
  <si>
    <t>Heritage tourism. ; Indigenous peoples -- Ethnic identity. ; Indigenous peoples -- Public opinion.</t>
  </si>
  <si>
    <t>https://ebookcentral.proquest.com/lib/viva-active/detail.action?docID=1021458</t>
  </si>
  <si>
    <t>Peoples of the Earth : Ethnonationalism, Democracy, and the Indigenous Challenge in 'Latin' America</t>
  </si>
  <si>
    <t>Andersen, Martin Edwin;Pastor, Robert A.;Pastor, Robert A.</t>
  </si>
  <si>
    <t>Indigenous peoples - Latin America - History</t>
  </si>
  <si>
    <t>https://ebookcentral.proquest.com/lib/viva-active/detail.action?docID=1021884</t>
  </si>
  <si>
    <t>Mississippian Mortuary Practices : Beyond Hierarchy and the Representationaist Perspective</t>
  </si>
  <si>
    <t>Florida Museum of Natural History: Ripley P. Bullen Ser.</t>
  </si>
  <si>
    <t>Sullivan, Lynne P.;Mainfort, Robert C., Jr.</t>
  </si>
  <si>
    <t>Mississippian culture -- Southern States. ; Mississippian culture -- Middle West. ; Indians of North America -- Funeral customs and rites -- Middle West -- History. ; Indians of North America -- Funeral customs and rites -- Southern States -- History. ; Social archaeology -- Southern States. ; Social archaeology -- Middle West. ; Indians of North America -- Southern States -- Antiquities.</t>
  </si>
  <si>
    <t>https://ebookcentral.proquest.com/lib/viva-active/detail.action?docID=1023600</t>
  </si>
  <si>
    <t>Indigenous Nations and Modern States : The Political Emergence of Nations Challenging State Power</t>
  </si>
  <si>
    <t>Ryser, Rudolph C.</t>
  </si>
  <si>
    <t>Social Science; Political Science</t>
  </si>
  <si>
    <t>Indigenous peoples -- Politics and government. ; Indigenous peoples -- Government relations.</t>
  </si>
  <si>
    <t>https://ebookcentral.proquest.com/lib/viva-active/detail.action?docID=1024520</t>
  </si>
  <si>
    <t>The American National State and the Early West</t>
  </si>
  <si>
    <t>Bergmann, William H.</t>
  </si>
  <si>
    <t>Indians of North America -- Northwest, Old -- Government relations. ; Indians of North America -- Ohio River Valley -- Government relations. ; Northwest, Old -- Economic policy. ; Ohio River Valley -- Economic policy. ; United States -- Territorial expansion -- Government policy. ; United States -- Territorial expansion -- History -- 18th century. ; United States -- Territorial expansion -- History -- 19th century.</t>
  </si>
  <si>
    <t>https://ebookcentral.proquest.com/lib/viva-active/detail.action?docID=1025034</t>
  </si>
  <si>
    <t>Under a Watchful Eye : Self, Power, and Intimacy in Amazonia</t>
  </si>
  <si>
    <t>Ethnographic Studies in Subjectivity Ser.</t>
  </si>
  <si>
    <t>Walker, Harry</t>
  </si>
  <si>
    <t>Urarina Indians - Social networks</t>
  </si>
  <si>
    <t>https://ebookcentral.proquest.com/lib/viva-active/detail.action?docID=1028946</t>
  </si>
  <si>
    <t>Turning Adversity to Advantage : A History of the Lipan Apaches of Texas and Northern Mexico, 1700-1900</t>
  </si>
  <si>
    <t>Minor, Nancy McGown</t>
  </si>
  <si>
    <t>Lipan Indians - Mexico, North - History</t>
  </si>
  <si>
    <t>https://ebookcentral.proquest.com/lib/viva-active/detail.action?docID=1032125</t>
  </si>
  <si>
    <t>The White Earth Nation : Ratification of a Native Democratic Constitution</t>
  </si>
  <si>
    <t>Vizenor, Gerald;Doerfler, Jill;Wilkins, David E.</t>
  </si>
  <si>
    <t>Ojibwa Indians -- Legal status, laws, etc. ; Ojibwa Indians -- Politics and government. ; Ojibwa Indians -- Government relations. ; White Earth Band of Chippewa Indians.</t>
  </si>
  <si>
    <t>https://ebookcentral.proquest.com/lib/viva-active/detail.action?docID=1034506</t>
  </si>
  <si>
    <t>The Allotment Plot : Alice C. Fletcher, E. Jane Gay, and Nez Perce Survivance</t>
  </si>
  <si>
    <t>Tonkovich, Nicole</t>
  </si>
  <si>
    <t>Fletcher, Alice C. -- (Alice Cunningham), -- 1838-1923 -- Correspondence. ; Gay, E. Jane, -- 1830-1919 -- Photograph collections. ; Nez Percé Indians -- Land tenure. ; Nez Percé Indians -- History -- 19th century. ; Nez Percé Indians -- Government relations. ; Indian allotments -- Idaho -- Nez Percé Indian Reservation -- History -- 19th century. ; Allotment of land -- Idaho -- Nez Percé Indian Reservation -- History -- 19th century.</t>
  </si>
  <si>
    <t>https://ebookcentral.proquest.com/lib/viva-active/detail.action?docID=1034507</t>
  </si>
  <si>
    <t>Smoke Signals : Native Cinema Rising</t>
  </si>
  <si>
    <t>Hearne, Joanna</t>
  </si>
  <si>
    <t>Smoke signals (Motion picture) ; Indians in motion pictures. ; Indigenous films -- United States.</t>
  </si>
  <si>
    <t>https://ebookcentral.proquest.com/lib/viva-active/detail.action?docID=1034960</t>
  </si>
  <si>
    <t>The Two Faces of Inca History : Dualism in the Narratives and Cosmology of Ancient Cuzco</t>
  </si>
  <si>
    <t>The Early Americas: History and Culture Ser.</t>
  </si>
  <si>
    <t>Yaya, Isabel</t>
  </si>
  <si>
    <t>Incas -- Peru -- Cuzco -- Historiography. ; Incas -- Peru -- Cuzco -- Kings and rulers. ; Inca cosmology -- Peru -- Cuzco. ; Inca calendar -- Peru -- Cuzco. ; Cuzco (Peru) -- History -- Sources.</t>
  </si>
  <si>
    <t>https://ebookcentral.proquest.com/lib/viva-active/detail.action?docID=1035300</t>
  </si>
  <si>
    <t>The Ojibwe Journals of Edmund F. Ely, 1833-1849</t>
  </si>
  <si>
    <t>Ely, Edmund F.;Schenck, Theresa M.</t>
  </si>
  <si>
    <t>Ely, Edmund Franklin, -- 1809-1882 -- Diaries. ; Ojibwa Indians -- Missions -- Wisconsin -- Fond du Lac. ; Presbyterian Church -- Missions -- Wisconsin -- Fond du Lac. ; Missionaries -- Wisconsin -- Fond du Lac -- Biography.</t>
  </si>
  <si>
    <t>https://ebookcentral.proquest.com/lib/viva-active/detail.action?docID=1037048</t>
  </si>
  <si>
    <t>A Grammar of Tommo So</t>
  </si>
  <si>
    <t>Mouton Grammar Library [MGL] Ser.</t>
  </si>
  <si>
    <t>McPherson, Laura;Bossong, Georg;Dryer, Matthew</t>
  </si>
  <si>
    <t>Dogon language -- Grammar. ; Dogon language -- Phonology.</t>
  </si>
  <si>
    <t>https://ebookcentral.proquest.com/lib/viva-active/detail.action?docID=1037928</t>
  </si>
  <si>
    <t>The Life Within : Local Indigenous Society in Mexico's Toluca Valley, 1650-1800</t>
  </si>
  <si>
    <t>Pizzigoni, Caterina</t>
  </si>
  <si>
    <t>Indians of Mexico -- Mexico -- Toluca Valley -- Social life and customs -- 17th century. ; Indians of Mexico -- Mexico -- Toluca Valley -- Social life and customs -- 18th century. ; Ethnohistory -- Mexico -- Toluca Valley. ; Toluca Valley (Mexico) -- Social life and customs -- 17th century. ; Toluca Valley (Mexico) -- Social life and customs -- 18th century.</t>
  </si>
  <si>
    <t>https://ebookcentral.proquest.com/lib/viva-active/detail.action?docID=1040654</t>
  </si>
  <si>
    <t>Performing Place, Practising Memories : Aboriginal Australians, Hippies and the State</t>
  </si>
  <si>
    <t>Space and Place Ser.</t>
  </si>
  <si>
    <t>Henry, Rosita</t>
  </si>
  <si>
    <t>Aboriginal Australians -- Australia -- Kuranda (Qld.) -- Ethnic identity. ; Aboriginal Australians -- Australia -- Kuranda (Qld.) -- Social conditions. ; Aboriginal Australians -- Australia -- Kuranda (Qld.) -- Government relations. ; Counterculture -- Australia -- Kuranda (Qld.) -- History -- 20th century. ; Aboriginal Australians in popular culture -- History -- 20th century. ; Whites -- Australia -- Kuranda (Qld.) -- Social conditions. ; Kuranda (Qld.) -- History.</t>
  </si>
  <si>
    <t>https://ebookcentral.proquest.com/lib/viva-active/detail.action?docID=1040763</t>
  </si>
  <si>
    <t>Appropriating the Past : Philosophical Perspectives on the Practice of Archaeology</t>
  </si>
  <si>
    <t>Scarre, Geoffrey;Coningham, Robin</t>
  </si>
  <si>
    <t>Archaeology -- Philosophy. ; Archaeology -- Moral and ethical aspects. ; Indigenous peoples -- Antiquities -- Collection and preservation.</t>
  </si>
  <si>
    <t>https://ebookcentral.proquest.com/lib/viva-active/detail.action?docID=1042403</t>
  </si>
  <si>
    <t>Embracing Fry Bread : Confessions of a Wannabe</t>
  </si>
  <si>
    <t>Welsch, Roger L.</t>
  </si>
  <si>
    <t>Indian philosophy -- North America. ; Indians in popular culture. ; Indians of North America -- Folklore. ; Indians of North America -- Public opinion. ; Public opinion -- North America.</t>
  </si>
  <si>
    <t>https://ebookcentral.proquest.com/lib/viva-active/detail.action?docID=1043700</t>
  </si>
  <si>
    <t>On Records : Delaware Indians, Colonists, and the Media of History and Memory</t>
  </si>
  <si>
    <t>Newman, Andrew</t>
  </si>
  <si>
    <t>Aerospace engineering -- Congresses. ; Airplanes -- Design and construction -- Congresses. ; Space vehicles -- Design and construction -- Congresses.</t>
  </si>
  <si>
    <t>https://ebookcentral.proquest.com/lib/viva-active/detail.action?docID=1043703</t>
  </si>
  <si>
    <t>Archaeology of the Caddo</t>
  </si>
  <si>
    <t>Perttula, Timothy K.;Walker, Chester P.</t>
  </si>
  <si>
    <t>Fertility, Human. ; Cohort analysis. ; Demographic transition.</t>
  </si>
  <si>
    <t>https://ebookcentral.proquest.com/lib/viva-active/detail.action?docID=1046267</t>
  </si>
  <si>
    <t>Enduring Motives : The Archaeology of Tradition and Religion in Native America</t>
  </si>
  <si>
    <t>Sundstrom, Linea;DeBoer, Warren;Bernardini, Wesley;Brown, James A.;Claassen, Cheryl;Clark, John E., Jr.;Colman, Arlene;Hall, Robert L.;Hays-Gilpin, Kelley;Kehoe, Alice Beck</t>
  </si>
  <si>
    <t>Indians - Rites and ceremonies</t>
  </si>
  <si>
    <t>https://ebookcentral.proquest.com/lib/viva-active/detail.action?docID=1046394</t>
  </si>
  <si>
    <t>Red Land to the South : American Indian Writers and Indigenous Mexico</t>
  </si>
  <si>
    <t>Cox, James H.</t>
  </si>
  <si>
    <t>Disinfection and disinfectants -- Directories. ; Materials -- Health aspects -- Directories.</t>
  </si>
  <si>
    <t>https://ebookcentral.proquest.com/lib/viva-active/detail.action?docID=1047454</t>
  </si>
  <si>
    <t>Pushmataha : A Choctaw Leader and His People</t>
  </si>
  <si>
    <t>Lincecum, Gideon;Bowes, John P.;Bowes, John P.</t>
  </si>
  <si>
    <t>Choctaw Indians - History.</t>
  </si>
  <si>
    <t>https://ebookcentral.proquest.com/lib/viva-active/detail.action?docID=1047516</t>
  </si>
  <si>
    <t>The Life and Times of Mary Musgrove</t>
  </si>
  <si>
    <t>Hahn, Steven C.</t>
  </si>
  <si>
    <t>Land settlement - Georgia</t>
  </si>
  <si>
    <t>https://ebookcentral.proquest.com/lib/viva-active/detail.action?docID=1051514</t>
  </si>
  <si>
    <t>Motul de San José : Politics, History, and Economy in a Maya Polity</t>
  </si>
  <si>
    <t>Foias, Antonia E.;Emery, Kitty F.</t>
  </si>
  <si>
    <t>Excavations (Archaeology) - Guatemala - Petaen (Department)</t>
  </si>
  <si>
    <t>https://ebookcentral.proquest.com/lib/viva-active/detail.action?docID=1053765</t>
  </si>
  <si>
    <t>Ancient Maya Pottery : Classification, Analysis, and Interpretation</t>
  </si>
  <si>
    <t>Aimers, James John</t>
  </si>
  <si>
    <t>Maya pottery - Classification</t>
  </si>
  <si>
    <t>https://ebookcentral.proquest.com/lib/viva-active/detail.action?docID=1053766</t>
  </si>
  <si>
    <t>Tenochtitlan : Capital of the Aztec Empire</t>
  </si>
  <si>
    <t>Ancient Cities of the New World Ser.</t>
  </si>
  <si>
    <t xml:space="preserve">de Rojas, José Luis;De Rojas, Jose Luis </t>
  </si>
  <si>
    <t>Mexico City (Mexico) - Antiquities</t>
  </si>
  <si>
    <t>https://ebookcentral.proquest.com/lib/viva-active/detail.action?docID=1053769</t>
  </si>
  <si>
    <t>The Native American Identity in Sports : Creating and Preserving a Culture</t>
  </si>
  <si>
    <t>Salamone, Frank A.</t>
  </si>
  <si>
    <t>Racism in sports - North America - History</t>
  </si>
  <si>
    <t>https://ebookcentral.proquest.com/lib/viva-active/detail.action?docID=1053892</t>
  </si>
  <si>
    <t>Judicial Power and Institutional Constraints : A Comparison of Canadian and American Courts</t>
  </si>
  <si>
    <t>LFB Scholarly Publishing LLC</t>
  </si>
  <si>
    <t>Law and Society</t>
  </si>
  <si>
    <t>Hurl, Ryan</t>
  </si>
  <si>
    <t>Fuzzy logic. ; Chaotic behavior in systems.</t>
  </si>
  <si>
    <t>https://ebookcentral.proquest.com/lib/viva-active/detail.action?docID=1057814</t>
  </si>
  <si>
    <t>Digging Miami</t>
  </si>
  <si>
    <t>Carr, Robert S.</t>
  </si>
  <si>
    <t>Miami (Fla.) - Antiquities</t>
  </si>
  <si>
    <t>https://ebookcentral.proquest.com/lib/viva-active/detail.action?docID=1059702</t>
  </si>
  <si>
    <t>Louise Erdrich : Louise Erdrich</t>
  </si>
  <si>
    <t>Manchester University Press</t>
  </si>
  <si>
    <t>Contemporary American and Canadian Writers Ser.</t>
  </si>
  <si>
    <t>Stirrup, David</t>
  </si>
  <si>
    <t>Erdrich, Louise -- Criticism and interpretation.</t>
  </si>
  <si>
    <t>https://ebookcentral.proquest.com/lib/viva-active/detail.action?docID=1069691</t>
  </si>
  <si>
    <t>Inside Dazzling Mountains : Southwest Native Verbal Arts</t>
  </si>
  <si>
    <t>Kozak, David L.</t>
  </si>
  <si>
    <t>Indians of North America -- Southwest, New -- Folklore. ; Indian mythology -- Southwest, New. ; Indians of North America -- Southwest, New -- Songs and music.</t>
  </si>
  <si>
    <t>https://ebookcentral.proquest.com/lib/viva-active/detail.action?docID=1073751</t>
  </si>
  <si>
    <t>Defending Whose Country? : Indigenous Soldiers in the Pacific War</t>
  </si>
  <si>
    <t>Riseman, Noah</t>
  </si>
  <si>
    <t>World War, 1939-1945 -- Cryptography. ; World War, 1939-1945 -- Participation, Indian. ; World War, 1939-1945 -- Participation, Aboriginal Australian. ; World War, 1939-1945 -- Personal narratives, Australian. ; Navajo code talkers. ; Yolngu (Australian people) -- Warfare. ; Australia -- Armed Forces -- Aboriginal Australians.</t>
  </si>
  <si>
    <t>https://ebookcentral.proquest.com/lib/viva-active/detail.action?docID=1073754</t>
  </si>
  <si>
    <t>Red Eagle's Children : Weatherford vs. Weatherford et Al</t>
  </si>
  <si>
    <t>Paredes, J. Anthony;Knight, Judith;Durham, David I., III;Ethridge, Robbie;Thrower, Nina Gail;Thrower, Robert G.;Waselkov, Gregory A.;Durham, David I.;Pruitt Jr., Paul M.;Thrower, Robert G.</t>
  </si>
  <si>
    <t>Creek Indians - Marriage customs and rites - History - 19th century</t>
  </si>
  <si>
    <t>https://ebookcentral.proquest.com/lib/viva-active/detail.action?docID=1074086</t>
  </si>
  <si>
    <t>California and Great Basin Olivella Shell Bead Guide</t>
  </si>
  <si>
    <t>Milliken, Randall T.;Schwitalla, Al W.;Jackson, Robert J</t>
  </si>
  <si>
    <t>Shell beads - Great Basin</t>
  </si>
  <si>
    <t>https://ebookcentral.proquest.com/lib/viva-active/detail.action?docID=1074090</t>
  </si>
  <si>
    <t>Between Indigenous and Settler Governance</t>
  </si>
  <si>
    <t xml:space="preserve">Ford, Lisa;Rowse, Tim;Yeatman, Anna </t>
  </si>
  <si>
    <t>Indigenous peoples -- Legal status, laws, etc. ; Jurisdiction. ; Indigenous peoples -- Government relations. ; Aboriginal Australians -- Legal status, laws, etc. -- Australia. ; Indians of North America -- Legal status, laws, etc. ; Maori (New Zealand people) -- Legal status, laws, etc. ; Indigenous peoples -- Legal status, laws, etc. -- Canada.</t>
  </si>
  <si>
    <t>https://ebookcentral.proquest.com/lib/viva-active/detail.action?docID=1074916</t>
  </si>
  <si>
    <t>Ancient Alterity in the Andes : A Recognition of Others</t>
  </si>
  <si>
    <t>Lau, George F.</t>
  </si>
  <si>
    <t>Indian cosmology - Andes Region</t>
  </si>
  <si>
    <t>https://ebookcentral.proquest.com/lib/viva-active/detail.action?docID=1075378</t>
  </si>
  <si>
    <t>Decolonizing Museums : Representing Native America in National and Tribal Museums</t>
  </si>
  <si>
    <t>Lonetree, Amy</t>
  </si>
  <si>
    <t>Indians of North America -- Museums. ; Indians of North America -- Public opinion. ; Ethnological museums and collections -- United States. ; Postcolonialism -- United States. ; Museums -- United States -- Management. ; Museum exhibits -- Moral and ethical aspects -- United States. ; Racism in museum exhibits -- United States.</t>
  </si>
  <si>
    <t>https://ebookcentral.proquest.com/lib/viva-active/detail.action?docID=1076066</t>
  </si>
  <si>
    <t>Mobilizing Bolivia's Displaced : Indigenous Politics and the Struggle over Land</t>
  </si>
  <si>
    <t>Fabricant, Nicole</t>
  </si>
  <si>
    <t>Business/Management; Economics</t>
  </si>
  <si>
    <t>Movimiento Sin Tierra (Bolivia) ; Land reform -- Bolivia -- History -- 20th century. ; Peasants -- Political activity -- Bolivia -- History -- 20th century. ; Indians of South America -- Land tenure -- Bolivia -- History -- 20th century. ; Indians of South America -- Bolivia -- Politics and government.</t>
  </si>
  <si>
    <t>https://ebookcentral.proquest.com/lib/viva-active/detail.action?docID=1076067</t>
  </si>
  <si>
    <t>El Norte or Bust! : How Migration Fever and Microcredit Produced a Financial Crash in a Latin American Town</t>
  </si>
  <si>
    <t>Stoll, David</t>
  </si>
  <si>
    <t>Economics; Political Science</t>
  </si>
  <si>
    <t>Illegal aliens - United States - Economic conditions</t>
  </si>
  <si>
    <t>https://ebookcentral.proquest.com/lib/viva-active/detail.action?docID=1077407</t>
  </si>
  <si>
    <t>Beringia : Archaic Migrations into North America</t>
  </si>
  <si>
    <t>Cambridge Scholars Publisher</t>
  </si>
  <si>
    <t>Morritt, Robert D.</t>
  </si>
  <si>
    <t>Indians -- Origin. ; Paleontology -- Bering Land Bridge. ; Paleontology -- Pleistocene. ; Bering Land Bridge.</t>
  </si>
  <si>
    <t>https://ebookcentral.proquest.com/lib/viva-active/detail.action?docID=1080475</t>
  </si>
  <si>
    <t>Typological Grammar of Panare : A Cariban Language of Venezuela</t>
  </si>
  <si>
    <t>Payne, Thomas E.;Payne, Doris L.</t>
  </si>
  <si>
    <t>Venezuela - Languages</t>
  </si>
  <si>
    <t>https://ebookcentral.proquest.com/lib/viva-active/detail.action?docID=1081629</t>
  </si>
  <si>
    <t>The Indian History of an American Institution : Native Americans and Dartmouth</t>
  </si>
  <si>
    <t>Dartmouth College Press</t>
  </si>
  <si>
    <t>Dartmouth College -- History. ; Indians of North America -- Education (Higher) -- New Hampshire -- Hanover -- History.</t>
  </si>
  <si>
    <t>https://ebookcentral.proquest.com/lib/viva-active/detail.action?docID=1084906</t>
  </si>
  <si>
    <t>The Right to Self-Determination under International Law : Selfistans, Secession, and the Rule of the Great Powers</t>
  </si>
  <si>
    <t>Routledge Research in International Law Ser.</t>
  </si>
  <si>
    <t>Sterio, Milena</t>
  </si>
  <si>
    <t>Self-determination, National</t>
  </si>
  <si>
    <t>https://ebookcentral.proquest.com/lib/viva-active/detail.action?docID=1092665</t>
  </si>
  <si>
    <t>Anthropologists, Indigenous Scholars and the Research Endeavour : Seeking Bridges Towards Mutual Respect</t>
  </si>
  <si>
    <t>Routledge Studies in Anthropology Ser.</t>
  </si>
  <si>
    <t>Hendry, Joy;Fitznor, Laara</t>
  </si>
  <si>
    <t>Indigenous peoples - Research</t>
  </si>
  <si>
    <t>https://ebookcentral.proquest.com/lib/viva-active/detail.action?docID=1092800</t>
  </si>
  <si>
    <t>Narrating the Future in Siberia : Childhood, Adolescence and Autobiography among the Eveny</t>
  </si>
  <si>
    <t>Ulturgasheva, Olga</t>
  </si>
  <si>
    <t>Even (Asian people) -- Attitudes. ; Even (Asian people) -- Social conditions. ; Children -- Russia (Federation) -- Siberia -- Attitudes. ; Children -- Russia (Federation) -- Siberia -- Forecasting. ; Children -- Russia (Federation) -- Siberia -- Social conditions. ; Families -- Russia (Federation) -- Siberia. ; Social perception -- Russia (Federation) -- Siberia.</t>
  </si>
  <si>
    <t>https://ebookcentral.proquest.com/lib/viva-active/detail.action?docID=1094721</t>
  </si>
  <si>
    <t>An Archaeology of the Cosmos : Rethinking Agency and Religion in Ancient America</t>
  </si>
  <si>
    <t>Social archaeology - United States</t>
  </si>
  <si>
    <t>https://ebookcentral.proquest.com/lib/viva-active/detail.action?docID=1097830</t>
  </si>
  <si>
    <t>Clovis Lithic Technology : Investigation of a Stratified Workshop at the Gault Site, Texas</t>
  </si>
  <si>
    <t>Texas A&amp;M University Press</t>
  </si>
  <si>
    <t>Peopling of the Americas Publications</t>
  </si>
  <si>
    <t>Waters, Michael R.;Pevny, Charlotte D.;Carlson, David L.;Dickens, Willaim A.;Minchak, Scott A.;Smallwood, Ashley M.;Wiersema, Jason M.;Bartelink, Eric J.;Wiederhold, James E.;Luchsinger, Heidi M.</t>
  </si>
  <si>
    <t>Bell County (Tex.) - Antiquities</t>
  </si>
  <si>
    <t>https://ebookcentral.proquest.com/lib/viva-active/detail.action?docID=1100923</t>
  </si>
  <si>
    <t>Early History of the Southwest through the Eyes of German-Speaking Jesuit Missionaries : A Transcultural Experience in the Eighteenth Century</t>
  </si>
  <si>
    <t>Classen, Albrecht</t>
  </si>
  <si>
    <t>History; Religion</t>
  </si>
  <si>
    <t>Missionaries - Southwest, New</t>
  </si>
  <si>
    <t>https://ebookcentral.proquest.com/lib/viva-active/detail.action?docID=1101138</t>
  </si>
  <si>
    <t>Education, Indigenous Knowledges, and Development in the Global South : Contesting Knowledges for a Sustainable Future</t>
  </si>
  <si>
    <t>Breidlid, Anders</t>
  </si>
  <si>
    <t>Indigenous peoples - Education - Southern Hemisphere</t>
  </si>
  <si>
    <t>https://ebookcentral.proquest.com/lib/viva-active/detail.action?docID=1101437</t>
  </si>
  <si>
    <t>The Poetry and Poetics of Gerald Vizenor</t>
  </si>
  <si>
    <t>University of New Mexico Press</t>
  </si>
  <si>
    <t>Vizenor, Gerald Robert, -- 1934- -- Criticism and interpretation.</t>
  </si>
  <si>
    <t>https://ebookcentral.proquest.com/lib/viva-active/detail.action?docID=1104367</t>
  </si>
  <si>
    <t>A Harvest of Reluctant Souls : Fray Alonso de Benavides's History of New Mexico 1630</t>
  </si>
  <si>
    <t xml:space="preserve">Morrow, Baker H.;Morrow, Baker H.;Morrow, Baker H </t>
  </si>
  <si>
    <t>Franciscans -- Missions -- New Mexico -- Early works to 1800. ; Indians of North America -- New Mexico -- Early works to 1800. ; New Mexico -- Description and travel -- Early works to 1800.</t>
  </si>
  <si>
    <t>https://ebookcentral.proquest.com/lib/viva-active/detail.action?docID=1104385</t>
  </si>
  <si>
    <t>Ch'Orti'-Maya Survival in Eastern Guatemala : Indigeneity in Transition</t>
  </si>
  <si>
    <t>Metz, Brent</t>
  </si>
  <si>
    <t>Conservation biology -- Statistical methods. ; Conservation biology -- Mathematical models.</t>
  </si>
  <si>
    <t>https://ebookcentral.proquest.com/lib/viva-active/detail.action?docID=1104409</t>
  </si>
  <si>
    <t>Conflict in Colonial Sonora : Indians, Priests, and Settlers</t>
  </si>
  <si>
    <t>Yetman, David</t>
  </si>
  <si>
    <t>Jesuits -- Missions -- Mexico -- Sonora (State) -- History -- Sources. ; Indians of Mexico -- Missions -- Mexico -- Sonora (State) ; Indians of Mexico -- Mexico -- Sonora (State) -- History -- Sources. ; Indians of Mexico -- Mexico -- Sonora (State) -- Social conditions. ; Frontier and pioneer life -- Mexico -- Sonoroa (State) -- History -- Sources. ; Sonora (Mexico : State) -- History -- Sources. ; Sonora (Mexico : State) -- Social conditions.</t>
  </si>
  <si>
    <t>https://ebookcentral.proquest.com/lib/viva-active/detail.action?docID=1104410</t>
  </si>
  <si>
    <t>The Mapuche in Modern Chile : A Cultural History</t>
  </si>
  <si>
    <t>Crow, Joanna;Stebbins, Robert C.</t>
  </si>
  <si>
    <t>Indians of South America - Chile</t>
  </si>
  <si>
    <t>https://ebookcentral.proquest.com/lib/viva-active/detail.action?docID=1104838</t>
  </si>
  <si>
    <t>The Ancient Southwest : Chaco Canyon, Bandelier, and Mesa Verde</t>
  </si>
  <si>
    <t>Stuart, David E.</t>
  </si>
  <si>
    <t>Science -- Study and teaching -- United States -- Evaluation. ; Technical education -- United States -- Evaluation.</t>
  </si>
  <si>
    <t>https://ebookcentral.proquest.com/lib/viva-active/detail.action?docID=1104868</t>
  </si>
  <si>
    <t>Lexical and Structural Etymology : Beyond Word Histories</t>
  </si>
  <si>
    <t>Studies in Language Change [SLC] Ser.</t>
  </si>
  <si>
    <t>Mailhammer, Robert;Koch, Harold;Allen, Cynthia</t>
  </si>
  <si>
    <t>Oceanic languages - Etymology</t>
  </si>
  <si>
    <t>https://ebookcentral.proquest.com/lib/viva-active/detail.action?docID=1108073</t>
  </si>
  <si>
    <t>The Flash of Recognition : Photography and the Emergence of Indigenous Rights</t>
  </si>
  <si>
    <t>Lydon, Jane</t>
  </si>
  <si>
    <t>Economics; Social Science</t>
  </si>
  <si>
    <t>Aboriginal Australians--Land tenure--Pictorial works.</t>
  </si>
  <si>
    <t>https://ebookcentral.proquest.com/lib/viva-active/detail.action?docID=1111124</t>
  </si>
  <si>
    <t>Settler Economies in World History : Settler Economies in World History</t>
  </si>
  <si>
    <t>Global Economic History Ser.</t>
  </si>
  <si>
    <t xml:space="preserve">Lloyd, Christopher;Metzer, Jacob;Sutch, Richard;National Bureau of Economic Research, </t>
  </si>
  <si>
    <t>Indigenous peoples -- Developing countries. ; Land settlement -- Developing countries. ; Europe -- Colonies.</t>
  </si>
  <si>
    <t>https://ebookcentral.proquest.com/lib/viva-active/detail.action?docID=1112246</t>
  </si>
  <si>
    <t>Wellness Beyond Words : Maya Compositions of Speech and Silence in Medical Care</t>
  </si>
  <si>
    <t>Harvey, T. S.</t>
  </si>
  <si>
    <t>Mayan languages -- Guatemala. ; Language and medicine -- Guatemala. ; Oral communication -- Guatemala. ; Anthropological linguistics -- Guatemala. ; Mayas -- Languages. ; Public health -- Guatemala. ; Guatemala -- Social conditions.</t>
  </si>
  <si>
    <t>https://ebookcentral.proquest.com/lib/viva-active/detail.action?docID=1112345</t>
  </si>
  <si>
    <t>The Archaeology of Australia's Deserts</t>
  </si>
  <si>
    <t>Cambridge World Archaeology</t>
  </si>
  <si>
    <t>Smith, Mike</t>
  </si>
  <si>
    <t>History; Science; Science: Geology</t>
  </si>
  <si>
    <t>Deserts -- Australia. ; Environmental archaeology -- Australia. ; Archaeology -- Australia. ; Human ecology -- Australia.</t>
  </si>
  <si>
    <t>https://ebookcentral.proquest.com/lib/viva-active/detail.action?docID=1113025</t>
  </si>
  <si>
    <t>The River of Life : Sustainable Practices of Native Americans and Indigenous Peoples</t>
  </si>
  <si>
    <t>Ecosystem Science and Applications Ser.</t>
  </si>
  <si>
    <t>Marchand, Michael;Vogt, Kristiina;Suntana, Asep;Cawston, Rodney;Gordon, John;Siscawati, Mia;Vogt, Daniel;Tovey, John;Sigurdardottir, Ragnhildur;Roads, Patricia</t>
  </si>
  <si>
    <t>Economics; Environmental Studies; History</t>
  </si>
  <si>
    <t>Indian philosophy -- North America. ; Indians of North America -- Science. ; Indigenous peoples -- Ecology -- North America. ; Sustainable development -- North America. ; Sustainable living -- North America. ; Traditional ecological knowledge -- North America.</t>
  </si>
  <si>
    <t>https://ebookcentral.proquest.com/lib/viva-active/detail.action?docID=1113312</t>
  </si>
  <si>
    <t>Feast of Souls : Indians and Spaniards in the Seventeenth-Century Missions of Florida and New Mexico</t>
  </si>
  <si>
    <t>Galgano, Robert</t>
  </si>
  <si>
    <t>Proteins -- Structure -- Congresses. ; Proteins -- Conformation -- Congresses.</t>
  </si>
  <si>
    <t>https://ebookcentral.proquest.com/lib/viva-active/detail.action?docID=1118935</t>
  </si>
  <si>
    <t>Explorers in Eden : Pueblo Indians and the Promised Land</t>
  </si>
  <si>
    <t>Auerbach, Jerold</t>
  </si>
  <si>
    <t>Natural gas -- Hydrates -- Congresses. ; Chemical engineering.</t>
  </si>
  <si>
    <t>https://ebookcentral.proquest.com/lib/viva-active/detail.action?docID=1118937</t>
  </si>
  <si>
    <t>Yanantin and Masintin in the Andean World : Complementary Dualism in Modern Peru</t>
  </si>
  <si>
    <t>Webb, Hillary S.</t>
  </si>
  <si>
    <t>Quechua philosophy. ; Quechua cosmology. ; Quechua Indians -- Rites and ceremonies. ; Shamanism -- Peru. ; Dualism. ; Mind and body. ; Space and time.</t>
  </si>
  <si>
    <t>https://ebookcentral.proquest.com/lib/viva-active/detail.action?docID=1118942</t>
  </si>
  <si>
    <t>Allies at Odds : The Andean Church and Its Indigenous Agents, 1583-1671</t>
  </si>
  <si>
    <t>Charles, John</t>
  </si>
  <si>
    <t>Spline theory. ; Approximation theory.</t>
  </si>
  <si>
    <t>https://ebookcentral.proquest.com/lib/viva-active/detail.action?docID=1118945</t>
  </si>
  <si>
    <t>Diseased Relations : Epidemics, Public Health, and State-Building in Yucatán, Mexico, 1847-1924</t>
  </si>
  <si>
    <t>McCrea, Heather</t>
  </si>
  <si>
    <t>Social Science; Health</t>
  </si>
  <si>
    <t>Crime. ; Criminal behavior. ; Criminal psychology. ; Victims of crimes. ; Criminal justice, Administration of. ; Punishment.</t>
  </si>
  <si>
    <t>https://ebookcentral.proquest.com/lib/viva-active/detail.action?docID=1118947</t>
  </si>
  <si>
    <t>Explorations in Navajo Poetry and Poetics</t>
  </si>
  <si>
    <t>Webster, Anthony</t>
  </si>
  <si>
    <t>Nuclear physics. ; Physics.</t>
  </si>
  <si>
    <t>https://ebookcentral.proquest.com/lib/viva-active/detail.action?docID=1118949</t>
  </si>
  <si>
    <t>For Every Indio Who Falls : A History of Maya Activism in Guatemala, 1960-1990</t>
  </si>
  <si>
    <t>Konefal, Betsy</t>
  </si>
  <si>
    <t>Physics. ; Quantum theory.</t>
  </si>
  <si>
    <t>https://ebookcentral.proquest.com/lib/viva-active/detail.action?docID=1118950</t>
  </si>
  <si>
    <t>Notes from a Miner's Canary : Essays on the State of Native America</t>
  </si>
  <si>
    <t>Weaver, Jace</t>
  </si>
  <si>
    <t>System design. ; C++ (Computer program language)</t>
  </si>
  <si>
    <t>https://ebookcentral.proquest.com/lib/viva-active/detail.action?docID=1118957</t>
  </si>
  <si>
    <t>Mermaid and the Lobster Diver : Gender, Sexuality, and Money on the Miskito Coast</t>
  </si>
  <si>
    <t xml:space="preserve">Hobson Herlihy, Laura;Hobson Herlihy, Laura </t>
  </si>
  <si>
    <t>Electric utilities -- Government ownership -- United States. ; Electric utilities -- Privatization -- United States. ; Electric utilities -- United States.</t>
  </si>
  <si>
    <t>https://ebookcentral.proquest.com/lib/viva-active/detail.action?docID=1118965</t>
  </si>
  <si>
    <t>Beyond Wari Walls : Regional Perspectives on Middle Horizon Peru</t>
  </si>
  <si>
    <t>Jennings, Justin</t>
  </si>
  <si>
    <t>Guanosine triphosphatase. ; GTPase-activating protein. ; ADP-ribosylation.</t>
  </si>
  <si>
    <t>https://ebookcentral.proquest.com/lib/viva-active/detail.action?docID=1118978</t>
  </si>
  <si>
    <t>Discarded Pages : Araceli Cab Cumí, Maya Poet and Politician</t>
  </si>
  <si>
    <t>Martin, Kathleen</t>
  </si>
  <si>
    <t>Truesdell, C. -- (Clifford), -- 1919-2000. ; Continuum mechanics.</t>
  </si>
  <si>
    <t>https://ebookcentral.proquest.com/lib/viva-active/detail.action?docID=1118982</t>
  </si>
  <si>
    <t>Gerald Vizenor : Texts and Contexts</t>
  </si>
  <si>
    <t xml:space="preserve">Madsen, Deborah L.;Lee, A.;Lee, A Robert </t>
  </si>
  <si>
    <t>Astronautics and state -- United States. ; Political planning -- United States. ; Astronautics -- International cooperation.</t>
  </si>
  <si>
    <t>https://ebookcentral.proquest.com/lib/viva-active/detail.action?docID=1118986</t>
  </si>
  <si>
    <t>Journey to Xibalba : A Life in Archaeology</t>
  </si>
  <si>
    <t>Patterson, Don</t>
  </si>
  <si>
    <t>Pharmacology, Experimental -- Congresses. ; Drug delivery systems -- Congresses.</t>
  </si>
  <si>
    <t>https://ebookcentral.proquest.com/lib/viva-active/detail.action?docID=1118991</t>
  </si>
  <si>
    <t>Juan Domínguez de Mendoza : Soldier and Frontiersman of the Spanish Southwest, 1627-1693</t>
  </si>
  <si>
    <t xml:space="preserve">Simmons, Marc;Esquibel, José;Scholes, France;Adams, Eleanor B. </t>
  </si>
  <si>
    <t>Domínguez de Mendoza, Juan, -- 1627-1693. ; Spaniards -- New Mexico -- History -- 17th century -- Sources. ; Pueblo Indians -- New Mexico -- History -- 17th century -- Sources. ; Pueblo Revolt, 1680 -- Sources. ; New Mexico -- History -- To 1848 -- Sources.</t>
  </si>
  <si>
    <t>https://ebookcentral.proquest.com/lib/viva-active/detail.action?docID=1118992</t>
  </si>
  <si>
    <t>Louis Riel and the Creation of Modern Canada : Mythic Discourse and the Postcolonial State</t>
  </si>
  <si>
    <t>Religions of the Americas Series</t>
  </si>
  <si>
    <t>Reid, Jennifer;Carrasco, Davíd;Long, Charles</t>
  </si>
  <si>
    <t>Riel, Louis, -- 1844-1885. ; Red River Rebellion, 1869-1870. ; Riel Rebellion, 1885. ; Métis -- Northwest, Canadian -- History -- 19th century. ; National characteristics, Canadian. ; Nationalism -- Canada. ; Postcolonialism -- Canada.</t>
  </si>
  <si>
    <t>https://ebookcentral.proquest.com/lib/viva-active/detail.action?docID=1118995</t>
  </si>
  <si>
    <t>Otavalan Women, Ethnicity, and Globalization</t>
  </si>
  <si>
    <t>D'Amico, Linda</t>
  </si>
  <si>
    <t>Parsons, Elsie Worthington Clews, -- 1874-1941 -- Influence. ; Otavalo Indians -- History. ; Otavalo Indians -- Ethnic relations. ; Otavalo Indians -- Social conditions. ; Indian women -- Ecuador -- Otavalo Region -- Social conditions. ; Culture and globalization -- Ecuador -- Otavalo Region.</t>
  </si>
  <si>
    <t>https://ebookcentral.proquest.com/lib/viva-active/detail.action?docID=1119005</t>
  </si>
  <si>
    <t>Re-creating the Circle : The Renewal of American Indian Self-Determination</t>
  </si>
  <si>
    <t>Harris, LaDonna;Sachs, Stephen;Morris, Barbara</t>
  </si>
  <si>
    <t>Indians of North America -- Politics and government. ; Indians of North America -- Government relations. ; Indians of North America -- Social conditions. ; Self-determination, National -- North America. ; Political participation -- North America.</t>
  </si>
  <si>
    <t>https://ebookcentral.proquest.com/lib/viva-active/detail.action?docID=1119008</t>
  </si>
  <si>
    <t>Salvation Through Slavery : Chiricahua Apaches and Priests on the Spanish Colonial Frontier</t>
  </si>
  <si>
    <t>Stockel, H.</t>
  </si>
  <si>
    <t>Low temperature engineering -- Congresses. ; Thermodynamics.</t>
  </si>
  <si>
    <t>https://ebookcentral.proquest.com/lib/viva-active/detail.action?docID=1119011</t>
  </si>
  <si>
    <t>Scientists and Storytellers : Feminist Anthropologists and the Construction of the American Southwest</t>
  </si>
  <si>
    <t>Lavender, Catherine</t>
  </si>
  <si>
    <t>Vascular smooth muscle -- Mechanical properties. ; Heart -- Mechanical properties. ; Elasticity. ; Biomechanics.</t>
  </si>
  <si>
    <t>https://ebookcentral.proquest.com/lib/viva-active/detail.action?docID=1119012</t>
  </si>
  <si>
    <t>Allen Site : A Paleoindian Camp in Southwestern Nebraska</t>
  </si>
  <si>
    <t>Bamforth, Douglas</t>
  </si>
  <si>
    <t>Prosthetic groups (Enzymes) ; Oxidation-reduction reaction.</t>
  </si>
  <si>
    <t>https://ebookcentral.proquest.com/lib/viva-active/detail.action?docID=1119020</t>
  </si>
  <si>
    <t>Allure of Nezahualcoyotl : Pre-Hispanic History, Religion, and Nahua Poetics</t>
  </si>
  <si>
    <t>Lee, Jongsoo</t>
  </si>
  <si>
    <t>Microelectromechanical systems -- Design and construction. ; System design. ; Microelectronics.</t>
  </si>
  <si>
    <t>https://ebookcentral.proquest.com/lib/viva-active/detail.action?docID=1119021</t>
  </si>
  <si>
    <t>Future of Indian and Federal Reserved Water Rights : The Winters Centennial</t>
  </si>
  <si>
    <t>Cosens, Barbara;Royster, Judith V.</t>
  </si>
  <si>
    <t>Water rights -- West (U.S.) -- Congresses. ; Indians of North America -- Legal status, laws, etc. -- West (U.S.) -- Congresses. ; Indians of North America -- Legal status, laws, etc. -- Cases. ; Indians of North America -- West (U.S.) -- Claims -- Congresses. ; Water rights -- Milk River (Mont. and Alta.) -- History -- Congresses. ; Indians of North America -- Montana -- Claims -- History -- Congresses.</t>
  </si>
  <si>
    <t>https://ebookcentral.proquest.com/lib/viva-active/detail.action?docID=1119025</t>
  </si>
  <si>
    <t>Maya of Modernism : Art, Architecture, and Film</t>
  </si>
  <si>
    <t>Lerner, Jesse</t>
  </si>
  <si>
    <t>Education, Higher -- Research -- Cross-cultural studies -- Congresses. ; Education.</t>
  </si>
  <si>
    <t>https://ebookcentral.proquest.com/lib/viva-active/detail.action?docID=1119027</t>
  </si>
  <si>
    <t>Maya World of Communicating Objects : Quadripartite Crosses, Trees, and Stones</t>
  </si>
  <si>
    <t>Astor-Aguilera, Miguel</t>
  </si>
  <si>
    <t>Learning. ; Educational change.</t>
  </si>
  <si>
    <t>https://ebookcentral.proquest.com/lib/viva-active/detail.action?docID=1119028</t>
  </si>
  <si>
    <t>Prehistory of the Tuxtlas</t>
  </si>
  <si>
    <t>Santley, Robert</t>
  </si>
  <si>
    <t>Neuropsychological tests -- Interpretation. ; Mental illness -- Diagnosis.</t>
  </si>
  <si>
    <t>https://ebookcentral.proquest.com/lib/viva-active/detail.action?docID=1119034</t>
  </si>
  <si>
    <t>Sacred Oral Tradition of the Havasupai : As Retold By Elders and Headmen Manakaja and Sinyella 19181921</t>
  </si>
  <si>
    <t xml:space="preserve">Tikalsky, Frank;Euler, Catherine;Nagel, John;Nagel, John </t>
  </si>
  <si>
    <t>Havasupai Indians -- Folklore. ; Havasupai mythology. ; Tales -- Arizona. ; Oral tradition -- Arizona.</t>
  </si>
  <si>
    <t>https://ebookcentral.proquest.com/lib/viva-active/detail.action?docID=1119036</t>
  </si>
  <si>
    <t>To Intermix With Our White Brothers : Indian Mixed Bloods in the United States from Earliest Times to the Indian Removals</t>
  </si>
  <si>
    <t>Ingersoll, Thomas</t>
  </si>
  <si>
    <t>Optical communications. ; Multiplexing. ; Fiber optics. ; Routers (Computer networks)</t>
  </si>
  <si>
    <t>https://ebookcentral.proquest.com/lib/viva-active/detail.action?docID=1119043</t>
  </si>
  <si>
    <t>Traditions of the Osage : Stories Collected and Translated by Francis La Flesche</t>
  </si>
  <si>
    <t xml:space="preserve">Bailey, Garrick;Bailey, Garrick A. </t>
  </si>
  <si>
    <t>Clinical neuropsychology. ; Eyelid conditioning. ; Neuropsychological tests.</t>
  </si>
  <si>
    <t>https://ebookcentral.proquest.com/lib/viva-active/detail.action?docID=1119044</t>
  </si>
  <si>
    <t>Negotiated Settlements : Andean Communities and Landscapes under Inka and Spanish Colonialism</t>
  </si>
  <si>
    <t>Wernke, Steven A.;Gamer, Robert E.</t>
  </si>
  <si>
    <t>Colca Canyon (Peru) - History</t>
  </si>
  <si>
    <t>https://ebookcentral.proquest.com/lib/viva-active/detail.action?docID=1119304</t>
  </si>
  <si>
    <t>So Far, So Good</t>
  </si>
  <si>
    <t>River Teeth Literary Nonfiction Prize</t>
  </si>
  <si>
    <t>Salisbury, Ralph</t>
  </si>
  <si>
    <t>Salisbury, Ralph J. ; Poets, American -- 20th century -- Biography. ; College teachers -- United States -- Biography. ; Racially mixed people -- United States -- Biography. ; Cherokee Indians -- Biography. ; Irish Americans -- Biography. ; Social values.</t>
  </si>
  <si>
    <t>https://ebookcentral.proquest.com/lib/viva-active/detail.action?docID=1122626</t>
  </si>
  <si>
    <t>The Mantle Site : An Archaeological History of an Ancestral Wendat Community</t>
  </si>
  <si>
    <t>Birch, Jennifer;Williamson, Ronald F.</t>
  </si>
  <si>
    <t>Mantle Site (Ont.)</t>
  </si>
  <si>
    <t>https://ebookcentral.proquest.com/lib/viva-active/detail.action?docID=1126492</t>
  </si>
  <si>
    <t>Politics of Origin in Africa : Autochthony, Citizenship and Conflict</t>
  </si>
  <si>
    <t>Bøås, Morten;Dunn, Kevin C.</t>
  </si>
  <si>
    <t>Citizenship -- Africa. ; Indigenous peoples -- Africa. ; Africa -- Politics and government.</t>
  </si>
  <si>
    <t>https://ebookcentral.proquest.com/lib/viva-active/detail.action?docID=1126848</t>
  </si>
  <si>
    <t>Archaeology of Minnesota : The Prehistory of the Upper Mississippi River Region</t>
  </si>
  <si>
    <t>Gibbon, Guy</t>
  </si>
  <si>
    <t>Paleo-Indians -- Minnesota. ; Mississippian culture -- Minnesota. ; Indians of North America -- Minnesota -- Antiquities. ; Minnesota -- Antiquities.</t>
  </si>
  <si>
    <t>https://ebookcentral.proquest.com/lib/viva-active/detail.action?docID=1128332</t>
  </si>
  <si>
    <t>Creole Indigeneity : Between Myth and Nation in the Caribbean</t>
  </si>
  <si>
    <t>Jackson, Shona N.</t>
  </si>
  <si>
    <t>Creoles -- Race identity -- Guyana. ; Creoles -- Guyana -- Social conditions. ; Indigenous peoples -- Guyana. ; Myth -- Social aspects -- Guyana. ; Nationalism -- Social aspects -- Guyana. ; Myth -- Social aspects -- Caribbean Area. ; Nationalism -- Social aspects -- Caribbean Area.</t>
  </si>
  <si>
    <t>https://ebookcentral.proquest.com/lib/viva-active/detail.action?docID=1128333</t>
  </si>
  <si>
    <t>Community Policing in Indigenous Communities</t>
  </si>
  <si>
    <t>Nalla, Mahesh K.;Newman, Graeme R.</t>
  </si>
  <si>
    <t>Community policing -- Case studies.</t>
  </si>
  <si>
    <t>https://ebookcentral.proquest.com/lib/viva-active/detail.action?docID=1128527</t>
  </si>
  <si>
    <t>Unknown Huichol : Shamans and Immortals, Allies against Chaos</t>
  </si>
  <si>
    <t>Fikes, Jay Courtney</t>
  </si>
  <si>
    <t>Symbolic anthropology - Mexico.l</t>
  </si>
  <si>
    <t>https://ebookcentral.proquest.com/lib/viva-active/detail.action?docID=1132001</t>
  </si>
  <si>
    <t>Mabel Mckay : Weaving the Dream</t>
  </si>
  <si>
    <t>Sarris, Greg</t>
  </si>
  <si>
    <t>McKay, Mabel, -- 1907- ; Pomo women weavers -- Biography. ; Pomo baskets. ; Pomo mythology. ; Pomo Indians -- Religious life and customs.</t>
  </si>
  <si>
    <t>https://ebookcentral.proquest.com/lib/viva-active/detail.action?docID=1132024</t>
  </si>
  <si>
    <t>The Great Ocean : Pacific Worlds from Captain Cook to the Gold Rush</t>
  </si>
  <si>
    <t>Igler, David</t>
  </si>
  <si>
    <t>Culture diffusion -- Pacific Area -- History -- 18th century. ; Culture diffusion -- Pacific Area -- History -- 19th century. ; Indigenous peoples -- Pacific Area -- History -- 18th century. ; Indigenous peoples -- Pacific Area -- History -- 19th century. ; Natural history -- Pacific Area -- History -- 18th century. ; Natural history -- Pacific Area -- History -- 19th century. ; East and West.</t>
  </si>
  <si>
    <t>https://ebookcentral.proquest.com/lib/viva-active/detail.action?docID=1132284</t>
  </si>
  <si>
    <t>The Willow’s Whisper : A Transatlantic Compilation of Poetry from Ireland and Native America</t>
  </si>
  <si>
    <t>O’Mahoney, Jill M.;O’hAodha, Micheal</t>
  </si>
  <si>
    <t>English poetry -- Irish authors. ; American poetry -- Indian authors.</t>
  </si>
  <si>
    <t>https://ebookcentral.proquest.com/lib/viva-active/detail.action?docID=1133026</t>
  </si>
  <si>
    <t>Everlasting Countdowns : Race, Ethnicity and National Censuses in Latin American States</t>
  </si>
  <si>
    <t>Ferrández, Luis Fernando Angosto;Kradolfer, Sabine</t>
  </si>
  <si>
    <t>Business/Management; Political Science</t>
  </si>
  <si>
    <t>Census. ; Race. ; Indigenous peoples -- Latin America. ; Latin America -- Population. ; Latin America -- Politics and government.</t>
  </si>
  <si>
    <t>https://ebookcentral.proquest.com/lib/viva-active/detail.action?docID=1133037</t>
  </si>
  <si>
    <t>Desert Lake : Art, Science and Stories from Paruku</t>
  </si>
  <si>
    <t>CSIRO Publishing</t>
  </si>
  <si>
    <t>Martin, Mandy;Carty, John;Mahood, Kim;Morton, Steve</t>
  </si>
  <si>
    <t>Art, Aboriginal Australian -- Australia -- Gregory, Lake (W.A.) ; Aboriginal Australians -- Australia -- Gregory, Lake (W.A.) ; Ecology -- Australia -- Gregory, Lake (W.A.) ; Gregory, Lake (W.A.) -- Social conditions.</t>
  </si>
  <si>
    <t>https://ebookcentral.proquest.com/lib/viva-active/detail.action?docID=1142664</t>
  </si>
  <si>
    <t>Blood is thicker than water : Amerindian intra- and inter-insular relationships and social organization in the pre-Colonial Windward Islands</t>
  </si>
  <si>
    <t>Sidestone Press</t>
  </si>
  <si>
    <t>Bright, Alistair J.</t>
  </si>
  <si>
    <t>Indians of the West Indies -- Windward Islands (West Indies) -- Antiquities. ; Windward Islands (West Indies) -- History.</t>
  </si>
  <si>
    <t>https://ebookcentral.proquest.com/lib/viva-active/detail.action?docID=1142844</t>
  </si>
  <si>
    <t>Renewing the house : Trajectories of social life in the yucayeque (community) of El Cabo, Higüey, Dominican Republic, AD 800 to 1504</t>
  </si>
  <si>
    <t>Samson, Alice V.M.</t>
  </si>
  <si>
    <t>Taino Indians -- Antiquities. ; Dwellings -- Dominican Republic -- Higüey -- History. ; Architecture, Domestic -- Dominican Republic -- Higüey -- History. ; Taino Indians -- Social life and customs. ; Spatial behavior -- Dominican Republic -- Higüey -- History. ; Excavations (Archaeology) -- Dominican Republic -- Higüey. ; Higüey (Dominican Republic) -- Antiquities.</t>
  </si>
  <si>
    <t>https://ebookcentral.proquest.com/lib/viva-active/detail.action?docID=1142845</t>
  </si>
  <si>
    <t>The Blind Man and the Loon : The Story of a Tale</t>
  </si>
  <si>
    <t>Mishler, Craig;Ridington, Robin</t>
  </si>
  <si>
    <t>Indians of North America -- Folklore. ; Loons -- Folklore.</t>
  </si>
  <si>
    <t>https://ebookcentral.proquest.com/lib/viva-active/detail.action?docID=1143374</t>
  </si>
  <si>
    <t>Imagining Geronimo : An Apache Icon in Popular Culture</t>
  </si>
  <si>
    <t>Clements, William M.</t>
  </si>
  <si>
    <t>Geronimo, -- 1829-1909. ; Apache Indians -- Kings and rulers -- Biography. ; Indians in popular culture.</t>
  </si>
  <si>
    <t>https://ebookcentral.proquest.com/lib/viva-active/detail.action?docID=1144959</t>
  </si>
  <si>
    <t>Zapotecs on the Move : Cultural, Social, and Political Processes in Transnational Perspective</t>
  </si>
  <si>
    <t>Latinidad: Transnational Cultures in the United States Ser.</t>
  </si>
  <si>
    <t>Cruz-Manjarrez, Adriana</t>
  </si>
  <si>
    <t>Zapotec Indians - Mexico - Hidalgo Yalaalag -</t>
  </si>
  <si>
    <t>https://ebookcentral.proquest.com/lib/viva-active/detail.action?docID=1154058</t>
  </si>
  <si>
    <t>Trans-Indigenous : Methodologies for Global Native Literary Studies</t>
  </si>
  <si>
    <t>Allen, Chadwick</t>
  </si>
  <si>
    <t>American literature -- Indian authors -- History and criticism. ; Indians in literature. ; Indian aesthetics. ; Indians, Treatment of -- United States -- History. ; New Zealand literature -- Maori authors -- History and criticism. ; Maori (New Zealand people) in literature. ; Indigenous peoples.</t>
  </si>
  <si>
    <t>https://ebookcentral.proquest.com/lib/viva-active/detail.action?docID=1158060</t>
  </si>
  <si>
    <t>Call for Change : The Medicine Way of American Indian History, Ethos, and Reality</t>
  </si>
  <si>
    <t>Indian philosophy -- North America. ; Indians of North America -- Historiography.</t>
  </si>
  <si>
    <t>https://ebookcentral.proquest.com/lib/viva-active/detail.action?docID=1160982</t>
  </si>
  <si>
    <t>From Homeland to New Land : A History of the Mahican Indians, 1600-1830</t>
  </si>
  <si>
    <t>Starna, William A.</t>
  </si>
  <si>
    <t>Ethnohistory -- New York (State) ; Mahican Indians -- History.</t>
  </si>
  <si>
    <t>https://ebookcentral.proquest.com/lib/viva-active/detail.action?docID=1161005</t>
  </si>
  <si>
    <t>Seeds We Planted : Portraits of a Native Hawaiian Charter School</t>
  </si>
  <si>
    <t>Goodyear-Ka'opua, Noelani</t>
  </si>
  <si>
    <t>Brain -- Anatomy -- Atlases. ; Magnetic resonance imaging -- Atlases.</t>
  </si>
  <si>
    <t>https://ebookcentral.proquest.com/lib/viva-active/detail.action?docID=1161866</t>
  </si>
  <si>
    <t>Our Stories Are Our Survival</t>
  </si>
  <si>
    <t>Bamblett, Lawrence</t>
  </si>
  <si>
    <t>Wood products. ; Wood. ; Timber.</t>
  </si>
  <si>
    <t>https://ebookcentral.proquest.com/lib/viva-active/detail.action?docID=1162752</t>
  </si>
  <si>
    <t>Lessons from Fort Apache : Beyond Language Endangerment and Maintenance</t>
  </si>
  <si>
    <t>Wiley Blackwell Studies in Discourse and Culture Ser.</t>
  </si>
  <si>
    <t>Nevins, M. Eleanor</t>
  </si>
  <si>
    <t>Language and culture. ; Indians of North America -- Languages.</t>
  </si>
  <si>
    <t>https://ebookcentral.proquest.com/lib/viva-active/detail.action?docID=1164807</t>
  </si>
  <si>
    <t>Whiteness and Social Change : Remnant Colonialisms and White Civility in Australia and Canada</t>
  </si>
  <si>
    <t>Salter, Colin</t>
  </si>
  <si>
    <t>Indigenous peoples -- Australia -- Ethnic identity. ; Indigenous peoples -- Canada -- Ethnic identity. ; Racism -- Australia. ; Racism -- Canada. ; Social change -- Australia. ; Social change -- Canada. ; Whites -- Race identity -- Australia.</t>
  </si>
  <si>
    <t>https://ebookcentral.proquest.com/lib/viva-active/detail.action?docID=1165736</t>
  </si>
  <si>
    <t>Inka Human Sacrifice and Mountain Worship : Strategies for Empire Unification</t>
  </si>
  <si>
    <t>Besom, Thomas</t>
  </si>
  <si>
    <t>Incas -- Rites and ceremonies. ; Incas -- Religion. ; Incas -- Politics and government. ; Human sacrifice -- Andes Region. ; Mountains -- Religious aspects. ; Andes Region -- Religious aspects. ; Andes Region -- Antiquities.</t>
  </si>
  <si>
    <t>https://ebookcentral.proquest.com/lib/viva-active/detail.action?docID=1166708</t>
  </si>
  <si>
    <t>Internal Game Theory</t>
  </si>
  <si>
    <t>Patokos, Tassos;Kliebard, Herbert M.</t>
  </si>
  <si>
    <t>Business/Management; Psychology</t>
  </si>
  <si>
    <t>Game theory -- Psychological aspects. ; Internalization.</t>
  </si>
  <si>
    <t>https://ebookcentral.proquest.com/lib/viva-active/detail.action?docID=1172882</t>
  </si>
  <si>
    <t>Good Morning, Mr Sarra : My Life Working for a Stronger, Smarter Future for Our Children</t>
  </si>
  <si>
    <t>University of Queensland Press</t>
  </si>
  <si>
    <t>Sarra, Chris</t>
  </si>
  <si>
    <t>Sarra, Chris. ; Cherbourg Aboriginal Settlement (Qld.) ; Aboriginal Australians -- Education (Primary) -- Australia -- Queensland. ; School principals -- Australia -- Queensland -- Biography.</t>
  </si>
  <si>
    <t>https://ebookcentral.proquest.com/lib/viva-active/detail.action?docID=1176976</t>
  </si>
  <si>
    <t>Indigenous Pathways into Social Research : Voices of a New Generation</t>
  </si>
  <si>
    <t>Mertens, Donna M.;Cram, Fiona;Chilisa, Bagele</t>
  </si>
  <si>
    <t>https://ebookcentral.proquest.com/lib/viva-active/detail.action?docID=1180079</t>
  </si>
  <si>
    <t>Mysteries of the Jaguar Shamans of the Northwest Amazon</t>
  </si>
  <si>
    <t>Wright, Robin M.;Harner, Michael J.</t>
  </si>
  <si>
    <t>Da Silva, Mandu. ; Baniwa Indians -- Biography. ; Shamans -- Brazil -- Biography. ; Baniwa Indians -- Religion. ; Baniwa philosophy. ; Baniwa Indians -- Rites and ceremonies.</t>
  </si>
  <si>
    <t>https://ebookcentral.proquest.com/lib/viva-active/detail.action?docID=1180183</t>
  </si>
  <si>
    <t>Pen and Ink Witchcraft : Treaties and Treaty Making in American Indian History</t>
  </si>
  <si>
    <t>Indians of North America -- Treaties. ; Indians of North America -- History.</t>
  </si>
  <si>
    <t>https://ebookcentral.proquest.com/lib/viva-active/detail.action?docID=1183113</t>
  </si>
  <si>
    <t>Tears of Repentance : Christian Indian Identity and Community in Colonial Southern New England</t>
  </si>
  <si>
    <t>Rubin, Julius H.</t>
  </si>
  <si>
    <t>Indians of North America -- New England -- Religion. ; Indians of North America -- Missions -- New England. ; Indians of North America -- New England -- Ethnic identity. ; Christianity and culture -- New England -- History. ; Christianity and other religions -- New England -- History. ; Evangelism -- New England -- History. ; Indians of North America -- History -- Colonial period, ca. 1600-1775.</t>
  </si>
  <si>
    <t>https://ebookcentral.proquest.com/lib/viva-active/detail.action?docID=1186841</t>
  </si>
  <si>
    <t>A Reference Grammar of Kotiria (Wanano)</t>
  </si>
  <si>
    <t>Stenzel, Kristine</t>
  </si>
  <si>
    <t>Indiana University, Bloomington. -- American Indian Studies Research Institute. ; Arawakan languages -- Amazon River Region. ; Areal linguistics. ; Guanano language -- Grammar. ; Amazon River Region -- Languages.</t>
  </si>
  <si>
    <t>https://ebookcentral.proquest.com/lib/viva-active/detail.action?docID=1186842</t>
  </si>
  <si>
    <t>Conflict and Conversion in Sixteenth Century Central Mexico : The Augustinian War on and Beyond the Chichimeca Frontier</t>
  </si>
  <si>
    <t>European Expansion and Indigenous Response Ser.</t>
  </si>
  <si>
    <t>Jackson, Robert H.</t>
  </si>
  <si>
    <t>Augustinians -- Missions -- Mexico -- History -- 16th century. ; Chichimecs -- Wars, 1550-1591. ; Chichimecs -- Missions -- History -- 16th century. ; Chichimecs -- Social conditions. ; Mexico -- History -- Spanish colony, 1540-1810.</t>
  </si>
  <si>
    <t>https://ebookcentral.proquest.com/lib/viva-active/detail.action?docID=1187228</t>
  </si>
  <si>
    <t>Entangled Subjects : Indigenous/Australian Cross-Cultures of Talk, Text, and Modernity</t>
  </si>
  <si>
    <t>Grossman, Michèle</t>
  </si>
  <si>
    <t>Aboriginal Australians -- History. ; Aboriginal Australians -- Social life and customs.</t>
  </si>
  <si>
    <t>https://ebookcentral.proquest.com/lib/viva-active/detail.action?docID=1187353</t>
  </si>
  <si>
    <t>Sharing Knowledge and Cultural Heritage: First Nations of the Americas</t>
  </si>
  <si>
    <t>Mededelingen van het Rijksmuseum voor Volkenkunde</t>
  </si>
  <si>
    <t>Van Broekhoven, Laura;Buijs, Cunera;Hovens, Pieter</t>
  </si>
  <si>
    <t>Ethnological museums and collections -- Congresses. ; Intercultural communication -- Congresses. ; Indians of North America -- Antiquities -- Collectors and collecting -- Congresses. ; Indians of South America -- Antiquities -- Collectors and collecting -- Congresses. ; Indigenous peoples -- Antiquities -- Collectors and collecting -- Greenland -- Congresses.</t>
  </si>
  <si>
    <t>https://ebookcentral.proquest.com/lib/viva-active/detail.action?docID=1187374</t>
  </si>
  <si>
    <t>Amotopoan Trails : A recent archaeology of Trio movements</t>
  </si>
  <si>
    <t>Mans, Jimmy</t>
  </si>
  <si>
    <t>Trio Indians -- Migrations. ; Archaeology -- Amazon River Region.</t>
  </si>
  <si>
    <t>https://ebookcentral.proquest.com/lib/viva-active/detail.action?docID=1187379</t>
  </si>
  <si>
    <t>Engaging with Capitalism : Cases from Oceania</t>
  </si>
  <si>
    <t>Emerald Publishing Limited</t>
  </si>
  <si>
    <t>Research in Economic Anthropology Ser.</t>
  </si>
  <si>
    <t>McCormack, Fiona;Barclay, Kate;Wood, Donald C.</t>
  </si>
  <si>
    <t>Indigenous peoples -- Cultural assimilation -- Oceania. ; Indigenous peoples -- Oceania -- Economic conditions. ; Indigenous peoples -- Oceania -- Social conditions. ; Capitalism -- Oceania.</t>
  </si>
  <si>
    <t>https://ebookcentral.proquest.com/lib/viva-active/detail.action?docID=1190653</t>
  </si>
  <si>
    <t>Indians on Display : Global Commodification of Native America in Performance, Art, and Museums</t>
  </si>
  <si>
    <t>Indians of North America -- Public opinion. ; Indians in popular culture. ; Indians in art. ; Museum exhibits -- United States. ; Indians of North America -- Exhibitions. ; Folklore -- Performance -- United States. ; Public opinion -- United States.</t>
  </si>
  <si>
    <t>https://ebookcentral.proquest.com/lib/viva-active/detail.action?docID=1207311</t>
  </si>
  <si>
    <t>'If You Knew the Conditions' : A Chronicle of the Indian Medical Service and American Indian Health Care, 1908-1955</t>
  </si>
  <si>
    <t>Dejong, David N.</t>
  </si>
  <si>
    <t>Health Services, Indigenous - United States</t>
  </si>
  <si>
    <t>https://ebookcentral.proquest.com/lib/viva-active/detail.action?docID=1210655</t>
  </si>
  <si>
    <t>Indigenous Religion and Cultural Performance in the New Maya World</t>
  </si>
  <si>
    <t>Cook, Garrett W.;Offit, Thomas A.;Taube, Rhonda</t>
  </si>
  <si>
    <t>Mayas -- Guatemala -- Momostenango -- Religion. ; Mayas -- Guatemala -- Momostenango -- Rites and ceremonies. ; Mayas -- Guatemala -- Momostenango -- Social life and customs. ; Festivals -- Guatemala -- Momostenango. ; Shamanism -- Guatemala -- Momostenango. ; Cofradías (Latin America) -- Guatemala -- Momostenango. ; Momostenango (Guatemala) -- Religious life and customs.</t>
  </si>
  <si>
    <t>https://ebookcentral.proquest.com/lib/viva-active/detail.action?docID=1211856</t>
  </si>
  <si>
    <t>Braiding Sweetgrass : Indigenous Wisdom, Scientific Knowledge and the Teachings of Plants</t>
  </si>
  <si>
    <t>Milkweed Editions</t>
  </si>
  <si>
    <t>Kimmerer, Robin</t>
  </si>
  <si>
    <t>Science; Science: Botany; History</t>
  </si>
  <si>
    <t>Botany - Philosophy</t>
  </si>
  <si>
    <t>https://ebookcentral.proquest.com/lib/viva-active/detail.action?docID=1212658</t>
  </si>
  <si>
    <t>Sandals of the Basketmaker and Pueblo Peoples : Fabric Structure and Color Symmetry</t>
  </si>
  <si>
    <t>Washburn, Dorothy Koster;Washburn, Dorothy Koster</t>
  </si>
  <si>
    <t>Basket-Maker Indians -- Clothing. ; Pueblo Indians -- Clothing. ; Basket-Maker Indians -- Antiquities. ; Pueblo Indians -- Antiquities. ; Sandals, Prehistoric -- Southwest, New. ; Southwest, New -- Antiquities.</t>
  </si>
  <si>
    <t>https://ebookcentral.proquest.com/lib/viva-active/detail.action?docID=1213833</t>
  </si>
  <si>
    <t>Dilogos Series : Course of Andean History</t>
  </si>
  <si>
    <t>Diálogos Ser.</t>
  </si>
  <si>
    <t>Henderson, Peter V. N.</t>
  </si>
  <si>
    <t>Mental health counseling. ; Group counseling. ; Small groups. ; Life skills -- Study and teaching.</t>
  </si>
  <si>
    <t>https://ebookcentral.proquest.com/lib/viva-active/detail.action?docID=1213834</t>
  </si>
  <si>
    <t>Recognition, Sovereignty Struggles, and Indigenous Rights in the United States : A Sourcebook</t>
  </si>
  <si>
    <t>Den Ouden, Amy E.;O'Brien, Jean M.</t>
  </si>
  <si>
    <t>Indians of North America -- Civil rights. ; Indians of North America -- Government relations. ; Indians of North America -- Legal status, laws, etc. ; Indigenous peoples -- Legal status, laws, etc. -- United States. ; States' rights (American politics) ; United States -- Race relations.</t>
  </si>
  <si>
    <t>https://ebookcentral.proquest.com/lib/viva-active/detail.action?docID=1220627</t>
  </si>
  <si>
    <t>Contesting Constructed Indian-ness : The Intersection of the Frontier, Masculinity, and Whiteness in Native American Mascot Representations</t>
  </si>
  <si>
    <t>Taylor, Michael</t>
  </si>
  <si>
    <t>Social Science; Sport &amp;amp; Recreation</t>
  </si>
  <si>
    <t>Sports team mascots - Social aspects - United States</t>
  </si>
  <si>
    <t>https://ebookcentral.proquest.com/lib/viva-active/detail.action?docID=1222030</t>
  </si>
  <si>
    <t>Imagic Moments : Indigenous North American Film</t>
  </si>
  <si>
    <t>University of Georgia Press</t>
  </si>
  <si>
    <t>Schweninger, Lee</t>
  </si>
  <si>
    <t>Indians in motion pictures. ; Indians in the motion picture industry -- Canada. ; Indians in the motion picture industry -- United States. ; Motion pictures -- Canada. ; Motion pictures -- United States.</t>
  </si>
  <si>
    <t>https://ebookcentral.proquest.com/lib/viva-active/detail.action?docID=1222484</t>
  </si>
  <si>
    <t>From Fort Marion to Fort Sill : A Documentary History of the Chiricahua Apache Prisoners of War, 1886-1913</t>
  </si>
  <si>
    <t>Delgadillo, Alicia;Perrett, Miriam</t>
  </si>
  <si>
    <t>Chiricahua Indians -- Biography. ; Chiricahua Indians -- Relocation -- Oklahoma -- Fort Marion. ; Indian prisoners -- Oklahoma -- Biography. ; Prisoners of war -- Oklahoma -- Biography.</t>
  </si>
  <si>
    <t>https://ebookcentral.proquest.com/lib/viva-active/detail.action?docID=1224905</t>
  </si>
  <si>
    <t>Survival Schools : The American Indian Movement and Community Education in the Twin Cities</t>
  </si>
  <si>
    <t>Davis, Julie L.</t>
  </si>
  <si>
    <t>Vintners. ; Wine industry.</t>
  </si>
  <si>
    <t>https://ebookcentral.proquest.com/lib/viva-active/detail.action?docID=1233305</t>
  </si>
  <si>
    <t>Introduction to Aboriginal Health and Health Care in Canada : Bridging Health and Healing</t>
  </si>
  <si>
    <t>Springer Publishing Company</t>
  </si>
  <si>
    <t>Douglas, Vasiliki;Vasiliki Douglas Bsn, Ba Phd</t>
  </si>
  <si>
    <t>Health; Social Science</t>
  </si>
  <si>
    <t>Transcultural Nursing - methods - Canada</t>
  </si>
  <si>
    <t>https://ebookcentral.proquest.com/lib/viva-active/detail.action?docID=1249041</t>
  </si>
  <si>
    <t>From the Pleistocene to the Holocene : Human Organization and Cultural Transformations in Prehistoric North America</t>
  </si>
  <si>
    <t>Texas a&amp;M University Anthropology</t>
  </si>
  <si>
    <t xml:space="preserve">Bousman, C. Britt;Vierra, Bradley J.;Jones, George T.;Prentiss, Anna M ;Jones, George T </t>
  </si>
  <si>
    <t>Antiquities, Prehistoric -- North America -- Congresses. ; Human beings -- Climatic factors -- North America -- Congresses. ; Human ecology -- North America -- Congresses. ; Hunting and gathering societies -- North America -- Congresses. ; Indians of North America -- Antiquities -- Congresses. ; Paleoecology -- Holocene -- Congresses. ; Paleoecology -- Pleistocene -- Congresses.</t>
  </si>
  <si>
    <t>https://ebookcentral.proquest.com/lib/viva-active/detail.action?docID=1250671</t>
  </si>
  <si>
    <t>Late Pleistocene Archaeology and Ecology in the Far Northeast</t>
  </si>
  <si>
    <t>Chapdelaine, Claude;Boisvert, Richard A.;Ellis, Christopher J.;Bradley, James W.;Crock, John G.;Robinson, Francis W.;Spiess, Arthur;Cowie, Ellen;Bartone, Robert;Rosenmeier, Leah Morine</t>
  </si>
  <si>
    <t>Land settlement patterns, Prehistoric - Northeastern States</t>
  </si>
  <si>
    <t>https://ebookcentral.proquest.com/lib/viva-active/detail.action?docID=1250673</t>
  </si>
  <si>
    <t>Toyah Phase of Central Texas : Late Prehistoric Economic and Social Processes</t>
  </si>
  <si>
    <t>Texas A&amp;M University Anthropology</t>
  </si>
  <si>
    <t>Kenmotsu, Nancy Adele;Boyd, Douglas K.;Gilmore, Zackary I.</t>
  </si>
  <si>
    <t>Antiquities, Prehistoric -- Texas -- Congresses. ; Indians of North America -- Material culture -- Texas -- Congresses. ; Indians of North America -- Texas -- Ethnic identity -- Congresses. ; Indians of North America -- Texas -- History -- Congresses. ; Toyah culture -- Texas -- Congresses. ; Texas -- Antiquities -- Congresses.</t>
  </si>
  <si>
    <t>https://ebookcentral.proquest.com/lib/viva-active/detail.action?docID=1250674</t>
  </si>
  <si>
    <t>From Princess to Chief : Life with the Waccamaw Siouan Indians of North Carolina</t>
  </si>
  <si>
    <t>Lerch, Patricia Barker;Jacobs, Priscilla Freeman;Lerch, Patricia Barker</t>
  </si>
  <si>
    <t>Jacobs, Priscilla Freeman, -- 1940- ; Waccamaw Indians -- Biography. ; Waccamaw Indians -- Politics and government. ; Waccamaw Indians -- Social life and customs.</t>
  </si>
  <si>
    <t>https://ebookcentral.proquest.com/lib/viva-active/detail.action?docID=1273592</t>
  </si>
  <si>
    <t>1607 : Jamestown and the New World</t>
  </si>
  <si>
    <t>Montgomery, Dennis;Montgomery, Dennis</t>
  </si>
  <si>
    <t>Powhatan Indians -- Virginia -- Jamestown -- History -- 17th century. ; Frontier and pioneer life -- Virginia -- Jamestown. ; Jamestown (Va.) -- History -- 17th century. ; Virginia -- History -- Colonial period, ca. 1600-1775. ; Jamestown Island (Va.) -- Antiquities.</t>
  </si>
  <si>
    <t>https://ebookcentral.proquest.com/lib/viva-active/detail.action?docID=1317966</t>
  </si>
  <si>
    <t>How Forests Think : Toward an Anthropology Beyond the Human</t>
  </si>
  <si>
    <t>Kohn, Eduardo</t>
  </si>
  <si>
    <t>Quechua Indians -- Social life and customs. ; Quechua mythology. ; Indigenous peoples -- Ecology -- Amazon River Region. ; Human-animal relationships -- Amazon River Region. ; Human-plant relationships -- Amazon River Region. ; Philosophy of nature -- Amazon River Region. ; Semiotics -- Amazon River Region.</t>
  </si>
  <si>
    <t>https://ebookcentral.proquest.com/lib/viva-active/detail.action?docID=1318190</t>
  </si>
  <si>
    <t>Cultures in Conflict : The Seven Years' War in North America</t>
  </si>
  <si>
    <t>Hofstra, Warren R.;Anderson, Fred;Desbarats, Catherine;Dull, Jonathan R.;Greer, Allan;Hinderaker, Eric;Holton, Woody;Mapp, Paul;Shannon, Timothy J.</t>
  </si>
  <si>
    <t>United States - History - French and Indian War, 1755-1763 - Social aspects</t>
  </si>
  <si>
    <t>https://ebookcentral.proquest.com/lib/viva-active/detail.action?docID=1322095</t>
  </si>
  <si>
    <t>Sharing Our Stories of Survival : Native Women Surviving Violence</t>
  </si>
  <si>
    <t>Tribal Legal Studies</t>
  </si>
  <si>
    <t>Deer, Sarah;Clairmont, Bonnie;Martell, Carrie A.;White Eagle, Maureen L.</t>
  </si>
  <si>
    <t>Indian women - Violence against - North America</t>
  </si>
  <si>
    <t>https://ebookcentral.proquest.com/lib/viva-active/detail.action?docID=1322118</t>
  </si>
  <si>
    <t>Indigenous People, Crime and Punishment</t>
  </si>
  <si>
    <t>Anthony, Thalia</t>
  </si>
  <si>
    <t>Aboriginal Australians - Criminal justice system</t>
  </si>
  <si>
    <t>https://ebookcentral.proquest.com/lib/viva-active/detail.action?docID=1323316</t>
  </si>
  <si>
    <t>Mission Cemeteries, Mission Peoples : Historical and Evolutionary Dimensions of Intracemetary Bioarchaeolgy in Spanish Florida</t>
  </si>
  <si>
    <t>Bioarchaeological Interpretations of the Human Past: Local, Regional, and Global Ser.</t>
  </si>
  <si>
    <t>Stojanowski, Christopher M.</t>
  </si>
  <si>
    <t>Indians of North America -- Anthropometry -- Florida. ; Indians of North America -- Missions -- Florida. ; Indians of North America -- Florida -- Population. ; Missions, Spanish -- Florida. ; Cemeteries -- Florida. ; Human remains (Archaeology) -- Florida. ; Excavations (Archaeology) -- Floirda.</t>
  </si>
  <si>
    <t>https://ebookcentral.proquest.com/lib/viva-active/detail.action?docID=1323619</t>
  </si>
  <si>
    <t>Native Games : Indigenous Peoples and Sports in the Post-Colonial World</t>
  </si>
  <si>
    <t>Research in the Sociology of Sport Ser.</t>
  </si>
  <si>
    <t>Hallinan, Chris;Judd, Barry;Young, Kevin</t>
  </si>
  <si>
    <t>African American athletes. ; Discrimination in sports. ; Racism in sports.</t>
  </si>
  <si>
    <t>https://ebookcentral.proquest.com/lib/viva-active/detail.action?docID=1325131</t>
  </si>
  <si>
    <t>Bridging Divides : Ethno-Political Leadership among the Russian Sámi</t>
  </si>
  <si>
    <t>Øverland, Indra;Berg-Nordlie, Mikkel</t>
  </si>
  <si>
    <t>Sami (European people) - Russia (Federation) - Social conditions</t>
  </si>
  <si>
    <t>https://ebookcentral.proquest.com/lib/viva-active/detail.action?docID=1337700</t>
  </si>
  <si>
    <t>Cultural Forests of the Amazon : A Historical Ecology of People and Their Landscapes</t>
  </si>
  <si>
    <t>Balée, William;Balée, William</t>
  </si>
  <si>
    <t>History; Science; Science: Botany</t>
  </si>
  <si>
    <t>Cultural landscapes - Amazon River Region</t>
  </si>
  <si>
    <t>https://ebookcentral.proquest.com/lib/viva-active/detail.action?docID=1339414</t>
  </si>
  <si>
    <t>Twilight of the Mission Frontier : Shifting Interethnic Alliances and Social Organization in Sonora, 1768-1855</t>
  </si>
  <si>
    <t>De la Torre Curiel, Jose;Torre Curiel Joseu Refugio de La,</t>
  </si>
  <si>
    <t>Franciscans -- Mexico -- Sonora (State) -- History -- 18th century. ; Franciscans -- Mexico -- Sonora (State) -- History -- 19th century. ; Missions -- Mexico -- Sonora (State) -- History -- 18th century. ; Missions -- Mexico -- Sonora (State) -- History -- 19th century. ; Indians of Mexico -- Missions -- Mexico -- Sonora (State) -- History -- 18th century. ; Indians of Mexico -- Missions -- Mexico -- Sonora (State) -- History -- 19th century. ; Social structure -- Mexico -- Sonora (State) -- History -- 18th century.</t>
  </si>
  <si>
    <t>https://ebookcentral.proquest.com/lib/viva-active/detail.action?docID=1339415</t>
  </si>
  <si>
    <t>Steady Steady : The Life and Music of Seaman Dan</t>
  </si>
  <si>
    <t>Dan, Henry "Seaman";Neuenfeldt, Karl</t>
  </si>
  <si>
    <t>Comparative education. ; Education -- Philosophy. ; Educational anthropology.</t>
  </si>
  <si>
    <t>https://ebookcentral.proquest.com/lib/viva-active/detail.action?docID=1352296</t>
  </si>
  <si>
    <t>Land of Big Rivers : French and Indian Illinois, 1699-1778</t>
  </si>
  <si>
    <t>Southern Illinois University Press</t>
  </si>
  <si>
    <t>Shawnee Bks.</t>
  </si>
  <si>
    <t>Morgan, M. J.</t>
  </si>
  <si>
    <t>British - Illinois - History - 18th century</t>
  </si>
  <si>
    <t>https://ebookcentral.proquest.com/lib/viva-active/detail.action?docID=1354497</t>
  </si>
  <si>
    <t>Unsettling Sights : The Fourth World on Film</t>
  </si>
  <si>
    <t>Columpar, Corinn</t>
  </si>
  <si>
    <t>Indigenous films - History and criticism</t>
  </si>
  <si>
    <t>https://ebookcentral.proquest.com/lib/viva-active/detail.action?docID=1354641</t>
  </si>
  <si>
    <t>Massacre at Cavett's Station : Frontier Tennessee During the Cherokee Wars</t>
  </si>
  <si>
    <t>Faulkner, Charles H.</t>
  </si>
  <si>
    <t>Cavett, Alexander, -- approximately 1746-1793 -- Homes and haunts -- Tennessee -- Knoxville Region. ; Massacres -- Tennessee -- Knoxville Region -- History -- 18th century. ; Frontier and pioneer life -- Tennessee -- Knoxville Region. ; Pioneers -- Tennessee -- Knoxville Region -- History -- 18th century. ; Cherokee Indians -- Wars -- Tennessee -- Knoxville Region. ; Creek Indians -- Wars -- Tennessee -- Knoxville Region. ; Archaeology and history -- Tennessee -- Knoxville Region.</t>
  </si>
  <si>
    <t>https://ebookcentral.proquest.com/lib/viva-active/detail.action?docID=1354691</t>
  </si>
  <si>
    <t>The Iroquois and the Athenians : A Political Ontology</t>
  </si>
  <si>
    <t>Seitz, Brian;Thorp, Thomas</t>
  </si>
  <si>
    <t>Comparative government - Greece - Athens - History</t>
  </si>
  <si>
    <t>https://ebookcentral.proquest.com/lib/viva-active/detail.action?docID=1359823</t>
  </si>
  <si>
    <t>Aymara Indian Perspectives on Development in the Andes</t>
  </si>
  <si>
    <t>Eisenberg, Amy;Eisenberg, Amy;Eisenberg, Amy</t>
  </si>
  <si>
    <t>Chile - Environmental conditions</t>
  </si>
  <si>
    <t>https://ebookcentral.proquest.com/lib/viva-active/detail.action?docID=1361943</t>
  </si>
  <si>
    <t>Native American DNA : Tribal Belonging and the False Promise of Genetic Science</t>
  </si>
  <si>
    <t>TallBear, Kim</t>
  </si>
  <si>
    <t>United Nations. -- Secretariat. ; United Nations. -- Secretary-General. ; Peace. ; Security, International.</t>
  </si>
  <si>
    <t>https://ebookcentral.proquest.com/lib/viva-active/detail.action?docID=1362022</t>
  </si>
  <si>
    <t>Mark My Words : Native Women Mapping Our Nations</t>
  </si>
  <si>
    <t>Goeman, Mishuana</t>
  </si>
  <si>
    <t>Indian women -- North America -- History. ; Indian women -- North America -- Social conditions. ; Indian women -- Political activity -- North America.</t>
  </si>
  <si>
    <t>https://ebookcentral.proquest.com/lib/viva-active/detail.action?docID=1362032</t>
  </si>
  <si>
    <t>Coming Full Circle : Spirituality and Wellness among Native Communities in the Pacific Northwest</t>
  </si>
  <si>
    <t>Crawford O'Brien, Suzanne</t>
  </si>
  <si>
    <t>Coast Salish Indians -- Religion. ; Coast Salish Indians -- Health and hygiene. ; Coast Salish Indiains -- Medicine. ; Indigenous peoples -- Ecology -- Northwest, Pacific. ; Traditional medicine -- Northwest, Pacific.</t>
  </si>
  <si>
    <t>https://ebookcentral.proquest.com/lib/viva-active/detail.action?docID=1363657</t>
  </si>
  <si>
    <t>That the Blood Stay Pure : African Americans, Native Americans, and the Predicament of Race and Identity in Virginia</t>
  </si>
  <si>
    <t>Blacks in the Diaspora Ser.</t>
  </si>
  <si>
    <t>Coleman, Arica L.</t>
  </si>
  <si>
    <t>Racism - Virginia - History</t>
  </si>
  <si>
    <t>https://ebookcentral.proquest.com/lib/viva-active/detail.action?docID=1387217</t>
  </si>
  <si>
    <t>About the Hearth : Perspectives on the Home, Hearth and Household in the Circumpolar North</t>
  </si>
  <si>
    <t>Anderson, David G.;Wishart, Robert P.;Vaté, Virginie</t>
  </si>
  <si>
    <t>Dwellings -- Arctic regions. ; Vernacular architecture -- Arctic regions. ; Households -- Arctic regions. ; Social archaeology -- Arctic regions. ; Arctic regions -- Antiquities. ; Arctic regions -- Social life and customs.</t>
  </si>
  <si>
    <t>https://ebookcentral.proquest.com/lib/viva-active/detail.action?docID=1390929</t>
  </si>
  <si>
    <t>Native North Americans in Literature for Youth : A Selective Annotated Bibliography for K-12</t>
  </si>
  <si>
    <t>Literature for Youth Series</t>
  </si>
  <si>
    <t>Crosetto, Alice;Garcha, Rajinder</t>
  </si>
  <si>
    <t>American literature -- Indian authors -- Bibliography -- Juvenile literature. ; American literature -- Indian authors -- Juvenile literature.</t>
  </si>
  <si>
    <t>https://ebookcentral.proquest.com/lib/viva-active/detail.action?docID=1400976</t>
  </si>
  <si>
    <t>The Inconvenient Indian : A Curious Account of Native People in North America</t>
  </si>
  <si>
    <t>King, Thomas</t>
  </si>
  <si>
    <t>Indians of North America -- History. ; Indians of North America -- Social life and customs. ; Indians, Treatment of -- North America. ; North America -- Ethnic relations.</t>
  </si>
  <si>
    <t>https://ebookcentral.proquest.com/lib/viva-active/detail.action?docID=1418416</t>
  </si>
  <si>
    <t>Indigenous Statistics : A Quantitative Research Methodology</t>
  </si>
  <si>
    <t>Walter, Maggie;Andersen, Chris</t>
  </si>
  <si>
    <t>Indigenous peoples -- Statistics. ; Indigenous peoples -- Research -- Methodology.</t>
  </si>
  <si>
    <t>https://ebookcentral.proquest.com/lib/viva-active/detail.action?docID=1418425</t>
  </si>
  <si>
    <t>Sovereign Screens : Aboriginal Media on the Canadian West Coast</t>
  </si>
  <si>
    <t>Dowell, Kristin L.</t>
  </si>
  <si>
    <t>Indigenous films -- British Columbia -- Vancouver. ; Indigenous peoples in motion pictures. ; Indigenous peoples -- British Columbia -- Vancouver. ; Motion picture producers and directors -- British Columbia -- Vancouver. ; Motion pictures in ethnology -- British Columbia -- Vancouver. ; Visual anthropology -- British Columbia -- Vancouver. ; Canada -- Cultural policy.</t>
  </si>
  <si>
    <t>https://ebookcentral.proquest.com/lib/viva-active/detail.action?docID=1420465</t>
  </si>
  <si>
    <t>Recognizing Heritage : The Politics of Multiculturalism in New Mexico</t>
  </si>
  <si>
    <t>Guthrie, Thomas H.</t>
  </si>
  <si>
    <t>Cultural pluralism -- New Mexico. ; Multiculturalism -- New Mexico. ; New Mexico -- Ethnic relations. ; New Mexico -- Race relations.</t>
  </si>
  <si>
    <t>https://ebookcentral.proquest.com/lib/viva-active/detail.action?docID=1420466</t>
  </si>
  <si>
    <t>Mathematics and Multi-Ethnic Students : Exemplary Practices</t>
  </si>
  <si>
    <t>Germain- Mc Carthy, Yvelyne;Owens, Katharine</t>
  </si>
  <si>
    <t>Mathematics</t>
  </si>
  <si>
    <t>Mathematics -- Study and teaching (Middle school) -- United States. ; African American students. ; Hispanic American students. ; Indian students -- United States.</t>
  </si>
  <si>
    <t>https://ebookcentral.proquest.com/lib/viva-active/detail.action?docID=1422401</t>
  </si>
  <si>
    <t>Fossil Legends of the First Americans</t>
  </si>
  <si>
    <t>Princeton University Press</t>
  </si>
  <si>
    <t>Mayor, Adrienne</t>
  </si>
  <si>
    <t>Indians -- Antiquities. ; Indians -- Folklore. ; Fossils -- America -- History. ; Fossils -- America -- Folklore. ; Tales -- America. ; Paleontology -- America. ; Paleoanthropology -- America.</t>
  </si>
  <si>
    <t>https://ebookcentral.proquest.com/lib/viva-active/detail.action?docID=1422517</t>
  </si>
  <si>
    <t>Standing Together : American Indian Education as Culturally Responsive Pedagogy</t>
  </si>
  <si>
    <t>R&amp;L Education</t>
  </si>
  <si>
    <t>Klug, Beverly J.</t>
  </si>
  <si>
    <t>Social values - Study and teaching - United States</t>
  </si>
  <si>
    <t>https://ebookcentral.proquest.com/lib/viva-active/detail.action?docID=1424634</t>
  </si>
  <si>
    <t>Fourth Eye : Maori Media in Aotearoa New Zealand</t>
  </si>
  <si>
    <t>Hokowhitu, Brendan;Devadas, Vijay</t>
  </si>
  <si>
    <t>Indigenous peoples and mass media -- New Zealand. ; Maori (New Zealand people) -- Press coverage. ; Maori (New Zealand people) -- Social life and customs. ; Maori language.</t>
  </si>
  <si>
    <t>https://ebookcentral.proquest.com/lib/viva-active/detail.action?docID=1458385</t>
  </si>
  <si>
    <t>Life among the Indians : First Fieldwork among the Sioux and Omahas</t>
  </si>
  <si>
    <t>Nebraska</t>
  </si>
  <si>
    <t>Studies in the Anthropology of North American Indians</t>
  </si>
  <si>
    <t>Fletcher, Alice C.;Scherer, Joanna C.;DeMallie, Raymond J.</t>
  </si>
  <si>
    <t>Fletcher, Alice C. -- (Alice Cunningham), -- 1838-1923. ; Women anthropologists -- Great Plains -- Biography. ; Dakota Indians -- Social life and customs. ; Omaha Indians -- Social life and customs.</t>
  </si>
  <si>
    <t>https://ebookcentral.proquest.com/lib/viva-active/detail.action?docID=1495860</t>
  </si>
  <si>
    <t>Saints and Citizens : Indigenous Histories of Colonial Missions and Mexican California</t>
  </si>
  <si>
    <t>Haas, Lisbeth</t>
  </si>
  <si>
    <t>Indians of North America -- Ethnic identity. ; Indians of North America -- Land tenure -- California -- History. ; Indians of North America -- Missions -- California -- History. ; Indians, Treatment of -- California. ; Missions, Spanish -- California -- History. ; California -- History -- To 1846.</t>
  </si>
  <si>
    <t>https://ebookcentral.proquest.com/lib/viva-active/detail.action?docID=1504450</t>
  </si>
  <si>
    <t>Keeping Languages Alive : Documentation, Pedagogy and Revitalization</t>
  </si>
  <si>
    <t>Jones, Mari C.;Ogilvie, Sarah</t>
  </si>
  <si>
    <t>Endangered languages. ; Language obsolescence. ; Language maintenance. ; Typology (Linguistics) ; Anthropological linguistics.</t>
  </si>
  <si>
    <t>https://ebookcentral.proquest.com/lib/viva-active/detail.action?docID=1543675</t>
  </si>
  <si>
    <t>That Dream Shall Have a Name : Native Americans Rewriting America</t>
  </si>
  <si>
    <t>Moore, David L.</t>
  </si>
  <si>
    <t>American literature -- Indian authors. ; Indians in literature.</t>
  </si>
  <si>
    <t>https://ebookcentral.proquest.com/lib/viva-active/detail.action?docID=1543722</t>
  </si>
  <si>
    <t>Indian Play : Indigenous Identities at Bacone College</t>
  </si>
  <si>
    <t>Neuman, Lisa K.</t>
  </si>
  <si>
    <t>Bacone College -- History. ; Education, Higher -- Oklahoma -- Philosophy. ; Indian philosophy -- Oklahoma. ; Indians of North America -- Education (Higher) -- Oklahoma. ; Indians of North America -- Oklahoma -- Ethnic identity.</t>
  </si>
  <si>
    <t>https://ebookcentral.proquest.com/lib/viva-active/detail.action?docID=1543723</t>
  </si>
  <si>
    <t>Jaune Quick-To-See Smith : An American Modernist</t>
  </si>
  <si>
    <t>Kastner, Carolyn</t>
  </si>
  <si>
    <t>China -- Economic conditions. ; China.</t>
  </si>
  <si>
    <t>https://ebookcentral.proquest.com/lib/viva-active/detail.action?docID=1562606</t>
  </si>
  <si>
    <t>The Archaeology of French and Indian War Frontier Forts</t>
  </si>
  <si>
    <t>Babits, Lawrence E.;Gandulla, Stephanie</t>
  </si>
  <si>
    <t>United States - History - French and Indian War, 1754-1763</t>
  </si>
  <si>
    <t>https://ebookcentral.proquest.com/lib/viva-active/detail.action?docID=1562636</t>
  </si>
  <si>
    <t>Indians and Wannabes : Native American Powwow Dancing in the Northeast and Beyond</t>
  </si>
  <si>
    <t>Axtmann, Ann M.</t>
  </si>
  <si>
    <t>Powwows - North America</t>
  </si>
  <si>
    <t>https://ebookcentral.proquest.com/lib/viva-active/detail.action?docID=1562637</t>
  </si>
  <si>
    <t>The Use of Signing Space in a Shared Sign Language of Australia</t>
  </si>
  <si>
    <t>Sign Language Typology [SLT] Ser.</t>
  </si>
  <si>
    <t>Bauer, Anastasia</t>
  </si>
  <si>
    <t>Sign language. ; Australian Sign Language. ; Deaf -- Means of communication -- Australia. ; Aboriginal Australians -- Sign language.</t>
  </si>
  <si>
    <t>https://ebookcentral.proquest.com/lib/viva-active/detail.action?docID=1575392</t>
  </si>
  <si>
    <t>North America's Indian Trade in European Commerce and Imagination, 1580-1850 : North America's Indian Trade in European Commerce and Imagination, 1580-1850</t>
  </si>
  <si>
    <t>Early American History Ser.</t>
  </si>
  <si>
    <t>Colpitts, George</t>
  </si>
  <si>
    <t>History; Business/Management</t>
  </si>
  <si>
    <t>Indians of North America -- Commerce -- History. ; Indian traders -- North America -- History. ; Europe -- Commerce -- North America -- History. ; North America -- Commerce -- Europe -- History.</t>
  </si>
  <si>
    <t>https://ebookcentral.proquest.com/lib/viva-active/detail.action?docID=1582242</t>
  </si>
  <si>
    <t>History and Culture: Ritual Practice of Time</t>
  </si>
  <si>
    <t>Pharo, Lars Kirkhusmo</t>
  </si>
  <si>
    <t>Science: Astronomy; History; Science</t>
  </si>
  <si>
    <t>Maya calendar. ; Mayas -- Rites and ceremonies. ; Maya philosophy. ; Aztec calendar. ; Aztecs -- Rites and ceremonies. ; Aztec philosophy.</t>
  </si>
  <si>
    <t>https://ebookcentral.proquest.com/lib/viva-active/detail.action?docID=1582254</t>
  </si>
  <si>
    <t>Native Americans on Network TV : Stereotypes, Myths, and the "Good Indian"</t>
  </si>
  <si>
    <t>Film and History</t>
  </si>
  <si>
    <t>FitzGerald, Michael Ray</t>
  </si>
  <si>
    <t>Stereotypes (Social psychology) on television</t>
  </si>
  <si>
    <t>https://ebookcentral.proquest.com/lib/viva-active/detail.action?docID=1584898</t>
  </si>
  <si>
    <t>Indigenous Rights</t>
  </si>
  <si>
    <t>The Spinney Press</t>
  </si>
  <si>
    <t>Issues in Society</t>
  </si>
  <si>
    <t>Healey, Justin</t>
  </si>
  <si>
    <t>Indigenous peoples -- Civil rights -- Australia. ; Indigenous peoples -- Legal status, laws, etc. -- Australia. ; Human rights -- Australia.</t>
  </si>
  <si>
    <t>https://ebookcentral.proquest.com/lib/viva-active/detail.action?docID=1593880</t>
  </si>
  <si>
    <t>DiáLogos Series : Native Brazil: Beyond the Convert and the Cannibal, 1500-1900</t>
  </si>
  <si>
    <t>Langfur, Hal</t>
  </si>
  <si>
    <t>Indians of South America -- Brazil -- History. ; Indians, Treatment of -- Brazil -- History. ; Indians of South America -- First contact with Europeans -- Brazil. ; Indians of South America -- Missions -- Brazil -- History. ; Indians of South America -- Brazil -- Government relations. ; Brazil -- Colonization.</t>
  </si>
  <si>
    <t>https://ebookcentral.proquest.com/lib/viva-active/detail.action?docID=1598412</t>
  </si>
  <si>
    <t>Aborigines and the 'Sport of Kings' : Aboriginal Jockeys in Australian Racing History</t>
  </si>
  <si>
    <t>Maynard, John</t>
  </si>
  <si>
    <t>Sport &amp;amp; Recreation; Agriculture</t>
  </si>
  <si>
    <t>Jockeys -- Australia -- Biography. ; Racehorse trainers -- Australia -- Biography. ; Aboriginal Australian jockeys -- Biography. ; Horse racing -- Australia -- History.</t>
  </si>
  <si>
    <t>https://ebookcentral.proquest.com/lib/viva-active/detail.action?docID=1634759</t>
  </si>
  <si>
    <t>Coranderrk : We Will Show the Country</t>
  </si>
  <si>
    <t>Nanni, Giordano;James, Andrea</t>
  </si>
  <si>
    <t>Wurundjeri (Australian people) -- Victoria -- Coranderrk -- History. ; Wurundjeri (Australian people) -- Victoria -- Coranderrk -- Social conditions. ; Aboriginal Australians -- Victoria -- Coranderrk -- History. ; Aboriginal Australians -- Victoria -- Coranderrk -- Social conditions. ; Coranderrk Aboriginal Station (Vic.) -- History. ; Victoria -- History -- 1834-1900.</t>
  </si>
  <si>
    <t>https://ebookcentral.proquest.com/lib/viva-active/detail.action?docID=1634760</t>
  </si>
  <si>
    <t>The Dead Do Not Die : "Exterminate All the Brutes" and Terra Nullius</t>
  </si>
  <si>
    <t>The New Press</t>
  </si>
  <si>
    <t>Lindqvist, Sven;Tate, Joan;Death, Sarah;Hochschild, Adam</t>
  </si>
  <si>
    <t>Lindqvist, Sven, -- 1932- -- Travel -- Australia. ; Racism. ; Racism in literature. ; Aboriginal Australians -- History. ; Aboriginal Australians -- Government relations.</t>
  </si>
  <si>
    <t>https://ebookcentral.proquest.com/lib/viva-active/detail.action?docID=1634866</t>
  </si>
  <si>
    <t>Colonial Mediascapes : Sensory Worlds of the Early Americas</t>
  </si>
  <si>
    <t xml:space="preserve">Cohen, Matt;Glover, Jeffrey;Smith, Paul Chaat </t>
  </si>
  <si>
    <t>Indians of North America -- Communication. ; Indians of Mexico -- Communication. ; Indians of South America -- Communication. ; First contact of aboriginal peoples with Westerners -- America -- History -- 17th century.</t>
  </si>
  <si>
    <t>https://ebookcentral.proquest.com/lib/viva-active/detail.action?docID=1639059</t>
  </si>
  <si>
    <t>Indigenous Knowledge and Development : Livelihoods, Health Experiences, and Medicinal Plant Knowledge in a Mexican Biosphere Reserve</t>
  </si>
  <si>
    <t>Olson, Elizabeth Anne</t>
  </si>
  <si>
    <t>Reserva de la Biosfera Sierra de Manantlaan (Mexico) - Social life and customs</t>
  </si>
  <si>
    <t>https://ebookcentral.proquest.com/lib/viva-active/detail.action?docID=1641154</t>
  </si>
  <si>
    <t>Hunters, Predators and Prey : Inuit Perceptions of Animals</t>
  </si>
  <si>
    <t>Laugrand, Frédéric;Oosten, Jarich</t>
  </si>
  <si>
    <t>Inuit -- Rites and ceremonies. ; Inuit -- Hunting. ; Human-animal relationships -- Nunavut. ; Animals -- Folklore.</t>
  </si>
  <si>
    <t>https://ebookcentral.proquest.com/lib/viva-active/detail.action?docID=1644364</t>
  </si>
  <si>
    <t>The Politics of Race in Panama : Afro-Hispanic and West Indian Literary Discourses of Contention</t>
  </si>
  <si>
    <t>Watson, Sonja Stephenson</t>
  </si>
  <si>
    <t>Blacks - Panama</t>
  </si>
  <si>
    <t>https://ebookcentral.proquest.com/lib/viva-active/detail.action?docID=1645484</t>
  </si>
  <si>
    <t>Negation in Arawak Languages : Negation in Arawak Languages</t>
  </si>
  <si>
    <t>Michael, Lev;Granadillo, Tania</t>
  </si>
  <si>
    <t>Arawakan languages -- Grammar. ; Arawakan languages -- Negatives. ; Endangered languages. ; Language attrition.</t>
  </si>
  <si>
    <t>https://ebookcentral.proquest.com/lib/viva-active/detail.action?docID=1651844</t>
  </si>
  <si>
    <t>Gifts from the Thunder Beings : Indigenous Archery and European Firearms in the Northern Plains and Central Subarctic, 1670-1870</t>
  </si>
  <si>
    <t>Bohr, Roland</t>
  </si>
  <si>
    <t>Military Science; History</t>
  </si>
  <si>
    <t>Indian weapons -- Great Plains -- History. ; Indian weapons -- Canada, Northern -- History. ; Bow and arrow -- Great Plains -- History. ; Bow and arrow -- Canada, Northern -- History. ; Firearms -- Great Plains -- History. ; Firearms -- Canada, Northern -- History.</t>
  </si>
  <si>
    <t>https://ebookcentral.proquest.com/lib/viva-active/detail.action?docID=1653647</t>
  </si>
  <si>
    <t>Black War : Fear, Sex and Resistance in Tasmania</t>
  </si>
  <si>
    <t>Clements, Nicholas</t>
  </si>
  <si>
    <t>Aboriginal Tasmanians -- History. ; Race discrimination -- Australia -- Tasmania -- History. ; Tasmania -- Race relations -- History.</t>
  </si>
  <si>
    <t>https://ebookcentral.proquest.com/lib/viva-active/detail.action?docID=1661084</t>
  </si>
  <si>
    <t>Indigenous Conflict Management Strategies : Global Perspectives</t>
  </si>
  <si>
    <t>Adebayo, Akanmu G.;Benjamin, Jesse J.;Lundy, Brandon D.;Adjei, Joseph Kingsley;Bingol, Haluk Baran;Córdova, Fabiola;Currie, Vanessa;Danso, Kwaku;Dickson, Jessica;Gohar, Ali</t>
  </si>
  <si>
    <t>Ethnic conflict</t>
  </si>
  <si>
    <t>https://ebookcentral.proquest.com/lib/viva-active/detail.action?docID=1664775</t>
  </si>
  <si>
    <t>Ko te Whenua te Utu / Land Is the Price : Essays on Maori History, Land and Politics</t>
  </si>
  <si>
    <t>Auckland University Press</t>
  </si>
  <si>
    <t>Sorrenson, M. P. K.</t>
  </si>
  <si>
    <t>Maori (New Zealand people) -- History. ; Land tenure -- New Zealand -- History. ; New Zealand -- History.</t>
  </si>
  <si>
    <t>https://ebookcentral.proquest.com/lib/viva-active/detail.action?docID=1664992</t>
  </si>
  <si>
    <t>Maori and Pasifika Higher Education Horizons</t>
  </si>
  <si>
    <t>Diversity in Higher Education Ser.</t>
  </si>
  <si>
    <t>Cram, Fiona;Phillips, Hazel;Sauni, Pale;Tuagalu, Clark;Frierson, Henry T.</t>
  </si>
  <si>
    <t>Higher education and state -- New Zealand.</t>
  </si>
  <si>
    <t>https://ebookcentral.proquest.com/lib/viva-active/detail.action?docID=1665347</t>
  </si>
  <si>
    <t>Native Diasporas : Indigenous Identities and Settler Colonialism in the Americas</t>
  </si>
  <si>
    <t>Smithers, Gregory D.;Newman, Brooke N.</t>
  </si>
  <si>
    <t>Forced migrations - United States - History</t>
  </si>
  <si>
    <t>https://ebookcentral.proquest.com/lib/viva-active/detail.action?docID=1666553</t>
  </si>
  <si>
    <t>Grabbing Back : Essays Against the Global Land Grab</t>
  </si>
  <si>
    <t>Ross, Alexander Reid;Shiva, Vandana;Chomsky, Noam</t>
  </si>
  <si>
    <t>Business/Management; Economics; Environmental Studies</t>
  </si>
  <si>
    <t>Land tenure--History--21st century.</t>
  </si>
  <si>
    <t>https://ebookcentral.proquest.com/lib/viva-active/detail.action?docID=1674525</t>
  </si>
  <si>
    <t>Decolonizing the Landscape : Indigenous Cultures in Australia</t>
  </si>
  <si>
    <t>Neumeier, Beate;Schaffer, Kay</t>
  </si>
  <si>
    <t>Aboriginal Australians -- Social life and customs. ; Aboriginal Australians -- Civilization. ; Arts, Aboriginal Australian.</t>
  </si>
  <si>
    <t>https://ebookcentral.proquest.com/lib/viva-active/detail.action?docID=1686922</t>
  </si>
  <si>
    <t>Performing Wisdom : Proverbial Lore in Modern Ugandan Society</t>
  </si>
  <si>
    <t>Editions Rodopi</t>
  </si>
  <si>
    <t>Matatu</t>
  </si>
  <si>
    <t>Dipio, Dominica;Sillars, Stuart</t>
  </si>
  <si>
    <t>Folklore -- Uganda. ; Uganda -- Social life and customs.</t>
  </si>
  <si>
    <t>https://ebookcentral.proquest.com/lib/viva-active/detail.action?docID=1686936</t>
  </si>
  <si>
    <t>The Canadian Sioux, Second Edition</t>
  </si>
  <si>
    <t>UNP - Bison Books</t>
  </si>
  <si>
    <t>Howard, James H.;DeMallie, Raymond J.;Parks, Douglas R.</t>
  </si>
  <si>
    <t>Indians of North America - Saskatchewan</t>
  </si>
  <si>
    <t>https://ebookcentral.proquest.com/lib/viva-active/detail.action?docID=1687284</t>
  </si>
  <si>
    <t>Plebeian Power : Collective Action and Indigenous, Working-Class and Popular Identities in Bolivia</t>
  </si>
  <si>
    <t>Historical Materialism Book Ser.</t>
  </si>
  <si>
    <t>Linera, Álvaro García</t>
  </si>
  <si>
    <t>Labor unions -- Bolivia. ; Syndicalism -- Bolivia. ; Labor movement -- Bolivia. ; Indians of South America -- Bolivia -- Government relations. ; Indians of South America -- Bolivia -- Politics and government.</t>
  </si>
  <si>
    <t>https://ebookcentral.proquest.com/lib/viva-active/detail.action?docID=1688655</t>
  </si>
  <si>
    <t>Reduplication in Indigenous Languages of South America : Reduplication in Indigenous Languages of South America</t>
  </si>
  <si>
    <t>Gómez, Gale Goodwin;van der Voort, Hein</t>
  </si>
  <si>
    <t>Indians of South America -- Languages. ; Language and culture -- South America. ; South America -- Languages.</t>
  </si>
  <si>
    <t>https://ebookcentral.proquest.com/lib/viva-active/detail.action?docID=1688670</t>
  </si>
  <si>
    <t>New Histories of Pre-Columbian Florida</t>
  </si>
  <si>
    <t>Wallis, Neill J.;Randall, Asa R.</t>
  </si>
  <si>
    <t>Kitchen-middens - Florida</t>
  </si>
  <si>
    <t>https://ebookcentral.proquest.com/lib/viva-active/detail.action?docID=1690892</t>
  </si>
  <si>
    <t>Choctaw Resurgence in Mississippi : Race, Class, and Nation Building in the Jim Crow South, 1830-1977</t>
  </si>
  <si>
    <t>Osburn, Katherine M. B.</t>
  </si>
  <si>
    <t>Choctaw Indians -- Mississippi -- History. ; Choctaw Indians -- Mississippi -- Goverment relations. ; Choctaw Indians -- Civil rights -- Mississippi. ; Self-determination, National -- Mississippi. ; Mississippi -- Race relations. ; Mississippi -- Politics and government. ; Mississippi -- Social conditions.</t>
  </si>
  <si>
    <t>https://ebookcentral.proquest.com/lib/viva-active/detail.action?docID=1691700</t>
  </si>
  <si>
    <t>Language Contact, Inherited Similarity and Social Difference : The story of linguistic interaction in the Maya lowlands</t>
  </si>
  <si>
    <t>Current Issues in Linguistic Theory</t>
  </si>
  <si>
    <t>Law, Danny</t>
  </si>
  <si>
    <t>Languages in contact -- Maya. ; Mayan languages -- Social aspects. ; Sociolinguistics.</t>
  </si>
  <si>
    <t>https://ebookcentral.proquest.com/lib/viva-active/detail.action?docID=1693172</t>
  </si>
  <si>
    <t>Uses of Plants by the Hidatsas of the Northern Plains</t>
  </si>
  <si>
    <t>Wilson, Gilbert L.;Scullin, Michael</t>
  </si>
  <si>
    <t>Hidatsa Indians -- Ethnobotany. ; Plants, Useful -- Great Plains. ; Hidatsa Indians -- Material culture. ; Hidatsa Indians -- Gardening. ; Indians of North America -- Great Plains -- Ethnobotany. ; Ethnobotany -- Great Plains.</t>
  </si>
  <si>
    <t>https://ebookcentral.proquest.com/lib/viva-active/detail.action?docID=1693627</t>
  </si>
  <si>
    <t>Settler Common Sense : Queerness and Everyday Colonialism in the American Renaissance</t>
  </si>
  <si>
    <t>Rifkin, Mark</t>
  </si>
  <si>
    <t>Indians in literature. ; Queer theory. ; Homosexuality in literature.</t>
  </si>
  <si>
    <t>https://ebookcentral.proquest.com/lib/viva-active/detail.action?docID=1701708</t>
  </si>
  <si>
    <t>Voices of Fire : Reweaving the Literary Lei of Pele and Hi’iaka</t>
  </si>
  <si>
    <t>ho'omanawanui, ku'ualoha</t>
  </si>
  <si>
    <t>Literature; Language/Linguistics</t>
  </si>
  <si>
    <t>Hawaiian literature -- History and criticism. ; Publishers and publishing -- Hawaii -- History. ; Literature and folklore -- Hawaii. ; Hawaiian mythology. ; Pele (Hawaiian deity) ; Hawaii -- Folklore.</t>
  </si>
  <si>
    <t>https://ebookcentral.proquest.com/lib/viva-active/detail.action?docID=1701709</t>
  </si>
  <si>
    <t>Ubuntu, Migration and Ministry : Being Human in a Johannesburg Church</t>
  </si>
  <si>
    <t>Studies in Systematic Theology Ser.</t>
  </si>
  <si>
    <t>Hankela, Elina</t>
  </si>
  <si>
    <t>Church work with immigrants. ; Church work with refugees. ; Emigration and immigration -- Religious aspects -- Christianity. ; Church work with immigrants -- South Africa -- Johannesburg. ; Church work with refugees -- South Africa -- Johannesburg.</t>
  </si>
  <si>
    <t>https://ebookcentral.proquest.com/lib/viva-active/detail.action?docID=1706979</t>
  </si>
  <si>
    <t>Four Square Leagues : Pueblo Indian Land in New Mexico</t>
  </si>
  <si>
    <t>Ebright, Malcolm;Hendricks, Rick;Hughes, Richard W.</t>
  </si>
  <si>
    <t>Indians of North America -- Land tenure -- New Mexico. ; Land grants -- New Mexico. ; Pueblo Indians -- Land tenure.</t>
  </si>
  <si>
    <t>https://ebookcentral.proquest.com/lib/viva-active/detail.action?docID=1707709</t>
  </si>
  <si>
    <t>Archaeologies of Landscape in the Americas Series : Maya Pilgrimage to Ritual Landscapes: Insights from Archaeology, History, and Ethnography</t>
  </si>
  <si>
    <t>Archaeologies of Landscape in the Americas Ser.</t>
  </si>
  <si>
    <t>Palka, Joel W.</t>
  </si>
  <si>
    <t>Mayas -- Religion. ; Pilgrims and pilgrimages -- Mexico. ; Mayas -- Rites and ceremonies. ; Sacred space -- Central America. ; Sacred space -- Mexico.</t>
  </si>
  <si>
    <t>https://ebookcentral.proquest.com/lib/viva-active/detail.action?docID=1707710</t>
  </si>
  <si>
    <t>Life Beside Itself : Imagining Care in the Canadian Arctic</t>
  </si>
  <si>
    <t>Stevenson, Lisa;Stevenson, Lisa</t>
  </si>
  <si>
    <t>Health; Social Science; Medicine</t>
  </si>
  <si>
    <t>Inuit -- Medical care -- Canada -- History. ; Tuberculosis -- Canada -- History. ; Inuit -- Health and hygiene -- Canada -- History.</t>
  </si>
  <si>
    <t>https://ebookcentral.proquest.com/lib/viva-active/detail.action?docID=1711050</t>
  </si>
  <si>
    <t>Memory of Nature in Aboriginal, Canadian and American Contexts</t>
  </si>
  <si>
    <t>Françoise, Besson;Omhovère,  Claire;Ventura,  Héliane</t>
  </si>
  <si>
    <t>American literature. ; Literature -- 19th century -- History and criticism. ; Literature -- 20th century -- History and criticism.</t>
  </si>
  <si>
    <t>https://ebookcentral.proquest.com/lib/viva-active/detail.action?docID=1712189</t>
  </si>
  <si>
    <t>Amazonian Routes : Indigenous Mobility and Colonial Communities in Northern Brazil</t>
  </si>
  <si>
    <t>Roller, Heather F.</t>
  </si>
  <si>
    <t>Indians of South America -- Amazon River Region -- 18th century. ; Indians of South America -- Brazil, North -- History -- 18th century. ; Migration, Internal -- Amazon River Region -- History -- 18th century. ; Migration, Internal -- Brazil, North -- History -- 18th century. ; Village communities -- Amazon River Region -- History -- 18th century.</t>
  </si>
  <si>
    <t>https://ebookcentral.proquest.com/lib/viva-active/detail.action?docID=1713123</t>
  </si>
  <si>
    <t>Molly Brant : Mohawk Loyalist and Diplomat</t>
  </si>
  <si>
    <t>Dundurn</t>
  </si>
  <si>
    <t>Quest Biography Ser.</t>
  </si>
  <si>
    <t>Leavey, Peggy Dymond</t>
  </si>
  <si>
    <t>Mohawk women--Biography.</t>
  </si>
  <si>
    <t>https://ebookcentral.proquest.com/lib/viva-active/detail.action?docID=1715431</t>
  </si>
  <si>
    <t>Archaeology of the Central Mississippi Valley</t>
  </si>
  <si>
    <t xml:space="preserve">Morse, Dan F.;Morse, Phyllis A.;Morse, Dan F. ;Morse, Phyllis A. </t>
  </si>
  <si>
    <t>Mississippi River Valley - Antiquities</t>
  </si>
  <si>
    <t>https://ebookcentral.proquest.com/lib/viva-active/detail.action?docID=1724347</t>
  </si>
  <si>
    <t>Those Who Remain : A Photographer's Memoir of South Carolina Indians</t>
  </si>
  <si>
    <t>Crediford, Gene J.</t>
  </si>
  <si>
    <t>Indians of North America - South Carolina - Ethnic identity</t>
  </si>
  <si>
    <t>https://ebookcentral.proquest.com/lib/viva-active/detail.action?docID=1727540</t>
  </si>
  <si>
    <t>A Generation Removed : The Fostering and Adoption of Indigenous Children in the Postwar World</t>
  </si>
  <si>
    <t>Jacobs, Margaret D.</t>
  </si>
  <si>
    <t>Interracial adoption -- History. ; Interethnic adoption -- History. ; Foster children -- History. ; Indigenous children -- History.</t>
  </si>
  <si>
    <t>https://ebookcentral.proquest.com/lib/viva-active/detail.action?docID=1730840</t>
  </si>
  <si>
    <t>Earth Matters : Indigenous Peoples, the Extractive Industries and Corporate Social Responsibility</t>
  </si>
  <si>
    <t>Ali, Saleem;O'Faircheallaigh, Ciaran</t>
  </si>
  <si>
    <t>Social responsibility of business. ; Mineral industries -- Social aspects. ; Indigenous peoples -- Social conditions.</t>
  </si>
  <si>
    <t>https://ebookcentral.proquest.com/lib/viva-active/detail.action?docID=1741633</t>
  </si>
  <si>
    <t>Violence and Warfare among Hunter-Gatherers</t>
  </si>
  <si>
    <t>Allen, Mark W.;Jones, Terry L.</t>
  </si>
  <si>
    <t>Hunting and gathering societies. ; Warfare, Prehistoric.</t>
  </si>
  <si>
    <t>https://ebookcentral.proquest.com/lib/viva-active/detail.action?docID=1742629</t>
  </si>
  <si>
    <t>Indigenous Knowledge and the Environment in Africa and North America</t>
  </si>
  <si>
    <t>Ohio University Press</t>
  </si>
  <si>
    <t>Series in Ecology and History Ser.</t>
  </si>
  <si>
    <t>Gordon, David M.;Krech, Shepard, III</t>
  </si>
  <si>
    <t>Indigenous peoples -- Ecology -- Africa. ; Traditional ecological knowledge -- Africa. ; Indigenous peoples -- Ecology -- North America. ; Traditional ecological knowledge -- North America.</t>
  </si>
  <si>
    <t>https://ebookcentral.proquest.com/lib/viva-active/detail.action?docID=1743716</t>
  </si>
  <si>
    <t>Orderly Anarchy : Sociopolitical Evolution in Aboriginal California</t>
  </si>
  <si>
    <t>Bettinger, Robert L.</t>
  </si>
  <si>
    <t>Indians of North America -- California -- Civilization.</t>
  </si>
  <si>
    <t>https://ebookcentral.proquest.com/lib/viva-active/detail.action?docID=1747547</t>
  </si>
  <si>
    <t>Aboriginal and Torres Strait Islander Health</t>
  </si>
  <si>
    <t>Torres Strait Islanders -- Health and hygiene. ; Torres Strait Islanders -- Medical care. ; Aboriginal Australians -- Health and hygiene. ; Aboriginal Australians -- Medical care. ; Aboriginal Australians -- Public welfare.</t>
  </si>
  <si>
    <t>https://ebookcentral.proquest.com/lib/viva-active/detail.action?docID=1756105</t>
  </si>
  <si>
    <t>Caribbean Paleodemography : Population, Culture History, and Sociopolitical Processes in Ancient Puerto Rico</t>
  </si>
  <si>
    <t>Curet, L. Antonio</t>
  </si>
  <si>
    <t>Indians of the West Indies -- Puerto Rico -- Antiquities. ; Indians of the West Indies -- Puerto Rico -- Population. ; Indians of the West Indies -- Puerto Rico -- Migrations. ; Excavations (Archaeology) -- Puerto Rico. ; Island archaeology -- Puerto Rico. ; Demographic archaeology -- Puerto Rico. ; Puerto Rico -- Antiquities.</t>
  </si>
  <si>
    <t>https://ebookcentral.proquest.com/lib/viva-active/detail.action?docID=1756968</t>
  </si>
  <si>
    <t>Pachakutik and the Rise and Decline of the Ecuadorian Indigenous Movement</t>
  </si>
  <si>
    <t>Research in International Studies, Latin America Ser.</t>
  </si>
  <si>
    <t>Mijeski, Kenneth J.;Beck, Scott H.</t>
  </si>
  <si>
    <t>Movimiento de Unidad Plurinacional Pachakutik-Nuevo País. ; Indians of South America -- Ecuador -- Politics and government. ; Indians of South America -- Ecuador -- Government relations. ; Politics and culture -- Ecuador. ; Social change -- Ecuador. ; Political activists -- Ecuador. ; Indian activists -- Ecuador.</t>
  </si>
  <si>
    <t>https://ebookcentral.proquest.com/lib/viva-active/detail.action?docID=1757115</t>
  </si>
  <si>
    <t>The Second British Empire : In the Crucible of the Twentieth Century</t>
  </si>
  <si>
    <t>Critical Issues in World and International History</t>
  </si>
  <si>
    <t>Parsons, Timothy H.</t>
  </si>
  <si>
    <t>Geography/Travel</t>
  </si>
  <si>
    <t>Commonwealth countries - History</t>
  </si>
  <si>
    <t>https://ebookcentral.proquest.com/lib/viva-active/detail.action?docID=1767199</t>
  </si>
  <si>
    <t>Luso-Brazilian Encounters of the Sixteenth Century : A Styles of Thinking Approach</t>
  </si>
  <si>
    <t>Fairleigh Dickinson University Press</t>
  </si>
  <si>
    <t>Zir, Alessandro</t>
  </si>
  <si>
    <t>Neoplatonism - History - 16th century</t>
  </si>
  <si>
    <t>https://ebookcentral.proquest.com/lib/viva-active/detail.action?docID=1767212</t>
  </si>
  <si>
    <t>The Victory with No Name : The Native American Defeat of the First American Army</t>
  </si>
  <si>
    <t>St. Clair, Arthur, -- 1734-1818. ; St. Clair''s Campaign, 1791. ; Battles -- Ohio River Valley -- History -- 18th century. ; Indians of North America -- Wars -- Ohio River Valley. ; Indians of North America -- Wars -- 1790-1794.</t>
  </si>
  <si>
    <t>https://ebookcentral.proquest.com/lib/viva-active/detail.action?docID=1767695</t>
  </si>
  <si>
    <t>The Connected Caribbean : A socio-material network approach to patterns of homogeneity and diversity in the pre-colonial period</t>
  </si>
  <si>
    <t>Sidestone Press Dissertations</t>
  </si>
  <si>
    <t>Mol, Angus A.A.</t>
  </si>
  <si>
    <t>Geography -- Caribbean Area -- Network analysis. ; Material culture -- Caribbean Area. ; Caribbean Area -- Antiquities.</t>
  </si>
  <si>
    <t>https://ebookcentral.proquest.com/lib/viva-active/detail.action?docID=1769032</t>
  </si>
  <si>
    <t>Song of Dewey Beard : Last Survivor of the Little Bighorn</t>
  </si>
  <si>
    <t>Burnham, Philip</t>
  </si>
  <si>
    <t>Dakota Indians -- South Dakota -- Biography. ; Little Bighorn, Battle of the, Mont., 1876 -- Biography. ; Dakota Indians -- Wars, 1876. ; Wounded Knee Massacre, S.D., 1890 -- Biography. ; Dakota Indians -- Wars, 1890-1891.</t>
  </si>
  <si>
    <t>https://ebookcentral.proquest.com/lib/viva-active/detail.action?docID=1770126</t>
  </si>
  <si>
    <t>Victims of Progress</t>
  </si>
  <si>
    <t>Bodley, John H.</t>
  </si>
  <si>
    <t>Indigenous peoples. ; Culture conflict. ; Acculturation. ; Social change.</t>
  </si>
  <si>
    <t>https://ebookcentral.proquest.com/lib/viva-active/detail.action?docID=1771147</t>
  </si>
  <si>
    <t>Power in the Blood : A Family Narrative</t>
  </si>
  <si>
    <t>Series in Race, Ethnicity, and Gender in Appalachia Ser.</t>
  </si>
  <si>
    <t xml:space="preserve">Tate, Linda;Ewen, Lynda Ann ;Tedesco, Marie </t>
  </si>
  <si>
    <t>Tate, Linda -- Family. ; Cherokee Indians -- Appalachian Region, Southern -- Genealogy. ; Cherokee Indians -- Appalachian Region, Southern -- Biography. ; Cherokee Indians -- Appalachian Region, Southern -- Social conditions. ; Racially mixed people -- United States -- Biography. ; Cherokee women -- Appalachian Region, Southern -- Biography. ; Appalachian Region, Southern -- Biography.</t>
  </si>
  <si>
    <t>https://ebookcentral.proquest.com/lib/viva-active/detail.action?docID=1773373</t>
  </si>
  <si>
    <t>Declarations of Interdependence : A Legal Pluralist Approach to Indigenous Rights</t>
  </si>
  <si>
    <t>Cultural Diversity and Law Ser.</t>
  </si>
  <si>
    <t>Anker, Kirsten;Shah, Dr Prakash</t>
  </si>
  <si>
    <t>Indigenous peoples -- Civil rights. ; Legal polycentricity. ; Sovereignty. ; Self-determination, National.</t>
  </si>
  <si>
    <t>https://ebookcentral.proquest.com/lib/viva-active/detail.action?docID=1774209</t>
  </si>
  <si>
    <t>Female Amerindians in Early Modern Spanish Theater</t>
  </si>
  <si>
    <t>Bucknell University Press</t>
  </si>
  <si>
    <t>Robalino, Gladys;Caballero , Judith G.;Cowling, Erin Alice;Feit, Ronna;Fernandez, Esther;Ferrer-Lightner, María;Figueroa, Melissa;Nieto-Cuebas, Glenda;Taub, María Luisa Quiroz;Castillo, Moisés R.</t>
  </si>
  <si>
    <t>Literature; Fine Arts</t>
  </si>
  <si>
    <t>Indian women in literature</t>
  </si>
  <si>
    <t>https://ebookcentral.proquest.com/lib/viva-active/detail.action?docID=1776259</t>
  </si>
  <si>
    <t>A Grammar of Tundra Nenets</t>
  </si>
  <si>
    <t>Nikolaeva, Irina</t>
  </si>
  <si>
    <t>Nenets language -- Grammar.</t>
  </si>
  <si>
    <t>https://ebookcentral.proquest.com/lib/viva-active/detail.action?docID=1778484</t>
  </si>
  <si>
    <t>Indigenous Perspectives of North America : A Collection of Studies</t>
  </si>
  <si>
    <t xml:space="preserve">Sepsi, Enikő;Nagy,  Judit;Vassányi,  Miklós;Kenyeres, Janos </t>
  </si>
  <si>
    <t>Indians of North America -- Social conditions.</t>
  </si>
  <si>
    <t>https://ebookcentral.proquest.com/lib/viva-active/detail.action?docID=1780264</t>
  </si>
  <si>
    <t>A Grammar of Kulina</t>
  </si>
  <si>
    <t>Dienst, Stefan</t>
  </si>
  <si>
    <t>Culina language -- Grammar.</t>
  </si>
  <si>
    <t>https://ebookcentral.proquest.com/lib/viva-active/detail.action?docID=1787134</t>
  </si>
  <si>
    <t>Kennewick Man : The Scientific Investigation of an Ancient American Skeleton</t>
  </si>
  <si>
    <t>Owsley, Douglas W.;Jantz, Richard L.</t>
  </si>
  <si>
    <t>Kennewick Man. ; Paleo-Indians -- Anthropometry -- Washington (State) ; Indians of North America -- Washington (State) -- Antiquities. ; Washington (State) -- Antiquities.</t>
  </si>
  <si>
    <t>https://ebookcentral.proquest.com/lib/viva-active/detail.action?docID=1790695</t>
  </si>
  <si>
    <t>Mapping the Tribal Economy : A Case Study from a South-Indian State</t>
  </si>
  <si>
    <t>Rao, Bandlamudi Nageswara</t>
  </si>
  <si>
    <t>Land tenure -- India -- Andhra Pradesh. ; Andhra Pradesh (India) -- Scheduled tribes -- Land tenure. ; Andhra Pradesh (India) -- Scheduled tribes -- Economic conditions. ; Andhra Pradesh (India) -- Economic conditions.</t>
  </si>
  <si>
    <t>https://ebookcentral.proquest.com/lib/viva-active/detail.action?docID=1790931</t>
  </si>
  <si>
    <t>Indigenous Americas : Red Skin, White Masks : Rejecting the Colonial Politics of Recognition</t>
  </si>
  <si>
    <t>Indigenous Americas Ser.</t>
  </si>
  <si>
    <t xml:space="preserve">Coulthard, Glen Sean;Coulthard, Glen Sean </t>
  </si>
  <si>
    <t>Indians of North America -- Canada -- Government relations. ; Indians of North America -- Canada -- Politics and government. ; Indians of North America -- Legal status, laws, etc. -- Canada. ; Indians, Treatment of -- Canada. ; Canada -- Ethnic relations -- Political aspects.</t>
  </si>
  <si>
    <t>https://ebookcentral.proquest.com/lib/viva-active/detail.action?docID=1793913</t>
  </si>
  <si>
    <t>Colonial Rosary : The Spanish and Indian Missions of California</t>
  </si>
  <si>
    <t>Lake, Alison</t>
  </si>
  <si>
    <t>Franciscans -- California -- History. ; Missions, Spanish -- California -- History. ; Indians of North America -- Missions -- California -- History. ; Spaniards -- California -- History. ; California -- History -- To 1846. ; California -- Social life and customs. ; California -- Race relations.</t>
  </si>
  <si>
    <t>https://ebookcentral.proquest.com/lib/viva-active/detail.action?docID=1794571</t>
  </si>
  <si>
    <t>The Ancient Maya of Mexico : Reinterpreting the Past of the Northern Maya Lowlands</t>
  </si>
  <si>
    <t>Approaches to Anthropological Archaeology</t>
  </si>
  <si>
    <t>Braswell, Geoffrey E.</t>
  </si>
  <si>
    <t>Mayas -- Mexico -- Yucatán (State) -- Antiquities. ; Mayas -- Mexico -- Yucatán (State) -- Social life and customs. ; Mayas -- Mexico -- Yucatán (State) -- Politics and government. ; Social archaeology -- Mexico -- Yucatán (State) ; Yucatán (Mexico : State) -- Antiquities. ; Yucatán (Mexico : State) -- History.</t>
  </si>
  <si>
    <t>https://ebookcentral.proquest.com/lib/viva-active/detail.action?docID=1815524</t>
  </si>
  <si>
    <t>Battarbee and Namatjira : Rex Battarbee and Albert Namatjira</t>
  </si>
  <si>
    <t>Giramondo Publishing</t>
  </si>
  <si>
    <t>Edmond, Martin</t>
  </si>
  <si>
    <t>Art, Aboriginal Australian ; Artists, Australian aboriginal -- Exhibitions. ; Battarbee, Reginald Ernest, 1893- ; Landscape painting, Australian (Aboriginal). ; Namatjira, Albert, 1902-1959. ; Watercolor painting -- Australia..</t>
  </si>
  <si>
    <t>https://ebookcentral.proquest.com/lib/viva-active/detail.action?docID=1818276</t>
  </si>
  <si>
    <t>Word Formation in South American Languages</t>
  </si>
  <si>
    <t>Studies in Language Companion Ser.</t>
  </si>
  <si>
    <t>Danielsen, Swintha;Hannss, Katja;Zúñiga, Fernando</t>
  </si>
  <si>
    <t>Indians of South America -- Languages. ; Grammar, Comparative and general -- Word formation. ; Language and languages -- Variation. ; Languages in contact -- South America. ; South America -- Languages.</t>
  </si>
  <si>
    <t>https://ebookcentral.proquest.com/lib/viva-active/detail.action?docID=1820692</t>
  </si>
  <si>
    <t>Alaska Native Cultures and Issues : Responses to Frequently Asked Questions</t>
  </si>
  <si>
    <t>University of Alaska Press</t>
  </si>
  <si>
    <t>Roderick, Libby</t>
  </si>
  <si>
    <t>United States. -- Alaska Native Claims Settlement Act -- History. ; Indians of North America -- Alaska -- History. ; Indians of North America -- Land tenure -- Alaska. ; Indians of North America -- Alaska -- Politics and government. ; Indians of North America -- Alaska -- Social conditions.</t>
  </si>
  <si>
    <t>https://ebookcentral.proquest.com/lib/viva-active/detail.action?docID=1820931</t>
  </si>
  <si>
    <t>Alaska Natives and American Laws : Third Edition</t>
  </si>
  <si>
    <t>Case, David S.;Voluck, David A.</t>
  </si>
  <si>
    <t>Alaska Natives - Legal status, laws, etc</t>
  </si>
  <si>
    <t>https://ebookcentral.proquest.com/lib/viva-active/detail.action?docID=1820932</t>
  </si>
  <si>
    <t>Giinaquq Like a Face : Suqpiaq Masks of the Kodiak Archipelago</t>
  </si>
  <si>
    <t>Steffian, Amy F.;Haakanson, Sven D., Jr.</t>
  </si>
  <si>
    <t>Pacific Gulf Yupik Eskimos -- Material culture -- Alaska -- Kodiak Island -- Exhibitions. ; Eskimo masks -- Alaska -- Kodiak Island -- Exhibitions. ; Kodiak Island (Alaska) -- Social life and customs -- Exhibitions.</t>
  </si>
  <si>
    <t>https://ebookcentral.proquest.com/lib/viva-active/detail.action?docID=1820955</t>
  </si>
  <si>
    <t>Gwich'in Athabascan Implements : History, Manufacture, and Usage According to Reverend David Salmon</t>
  </si>
  <si>
    <t>O'Brien, Thomas A.</t>
  </si>
  <si>
    <t>Salmon, David - Ethnological collections</t>
  </si>
  <si>
    <t>https://ebookcentral.proquest.com/lib/viva-active/detail.action?docID=1820957</t>
  </si>
  <si>
    <t>Khanty, People of the Taiga : Surviving the 20th Century</t>
  </si>
  <si>
    <t>Wiget, Andrew;Balalaeva, Olga</t>
  </si>
  <si>
    <t>Khanty -- Russia (Federation) -- Siberia -- Ethnic identity. ; Khanty -- Cultural assimilation -- Russia (Federation) -- Siberia. ; Khanty -- Russia (Federation) -- Siberia -- Social conditions. ; Taigas -- Russia (Federation) -- Siberia. ; Reindeer herders -- Russia (Federation) -- Siberia. ; Siberia (Russia) -- Ethnic relations. ; Siberia (Russia) -- Social conditions.</t>
  </si>
  <si>
    <t>https://ebookcentral.proquest.com/lib/viva-active/detail.action?docID=1820961</t>
  </si>
  <si>
    <t>Mission of Change in Southwest Alaska : Conversations with Father René Astruc and Paul Dixon on Their Work with Yup'ik People</t>
  </si>
  <si>
    <t>Fienup-Riordan, Ann</t>
  </si>
  <si>
    <t>Astruc, Renae</t>
  </si>
  <si>
    <t>https://ebookcentral.proquest.com/lib/viva-active/detail.action?docID=1820963</t>
  </si>
  <si>
    <t>Once upon an Eskimo Time</t>
  </si>
  <si>
    <t>Wilder, Edna</t>
  </si>
  <si>
    <t>Tucker, Minnie, -- ca. 1858-1979. ; Wilder, Edna, -- 1916-2011 -- Family. ; Eskimos -- Alaska -- Biography. ; Eskimo women -- Alaska -- Biography. ; Eskimos -- Alaska -- Social life and customs. ; Seward Peninsula (Alaska) -- Biography. ; Seward Peninsula (Alaska) -- Social life and customs.</t>
  </si>
  <si>
    <t>https://ebookcentral.proquest.com/lib/viva-active/detail.action?docID=1820970</t>
  </si>
  <si>
    <t>Seventeen Years in Alaska : A Depiction of Life among the Indians of Yakutat</t>
  </si>
  <si>
    <t>Rasmuson Library Historic Translation Ser.</t>
  </si>
  <si>
    <t>Johnson, Albin;Ehrlander, Mary</t>
  </si>
  <si>
    <t>Johnson, Albin, -- 1865-1947 -- Travel -- Alaska -- Yakutat Bay Region. ; Svenska missionsförbundet -- History. ; Tlingit Indians -- Missions -- Alaska -- Yakutat Bay Region. ; Tlingit Indians -- Alaska -- Yakutat Bay Region -- Social life and customs. ; Missionaries -- Alaska -- Yakutat Bay Region -- Biography. ; Missionaries -- Sweden -- Biography.</t>
  </si>
  <si>
    <t>https://ebookcentral.proquest.com/lib/viva-active/detail.action?docID=1820973</t>
  </si>
  <si>
    <t>The Archaeology of North Pacific Fisheries</t>
  </si>
  <si>
    <t>Cannon, Aubrey;Moss, Madonna L.</t>
  </si>
  <si>
    <t>Agriculture</t>
  </si>
  <si>
    <t>Fish remains (Archaeology) - Northwest Coast of North America</t>
  </si>
  <si>
    <t>https://ebookcentral.proquest.com/lib/viva-active/detail.action?docID=1820976</t>
  </si>
  <si>
    <t>Language of Emotions : The case of Dalabon (Australia)</t>
  </si>
  <si>
    <t>Cognitive Linguistic Studies in Cultural Contexts</t>
  </si>
  <si>
    <t>Ponsonnet, Maïa</t>
  </si>
  <si>
    <t>Dalabon language. ; Language and emotions. ; Emotive (Linguistics)</t>
  </si>
  <si>
    <t>https://ebookcentral.proquest.com/lib/viva-active/detail.action?docID=1847776</t>
  </si>
  <si>
    <t>Managing the Environmental Crisis in Ghana : The Role of African Traditional Religion and Culture with special reference to the Berekum Traditional Area</t>
  </si>
  <si>
    <t>Awuah-Nyamekye, Samuel</t>
  </si>
  <si>
    <t>Business/Management; Environmental Studies</t>
  </si>
  <si>
    <t>Religion and politics -- Africa. ; Religion and politics -- Africa -- Berekum. ; Ghana -- Economic conditions. ; Ghana -- Economic policy -- History.</t>
  </si>
  <si>
    <t>https://ebookcentral.proquest.com/lib/viva-active/detail.action?docID=1859162</t>
  </si>
  <si>
    <t>Double Desire : Transculturation and Indigenous Contemporary Art</t>
  </si>
  <si>
    <t>McLean, Ian</t>
  </si>
  <si>
    <t>Indigenous art. ; Art, Australian -- Aboriginal Australian influences. ; Art, Aboriginal Australian -- Western influences. ; Art, New Zealand -- Maori influences. ; Printing -- History.</t>
  </si>
  <si>
    <t>https://ebookcentral.proquest.com/lib/viva-active/detail.action?docID=1859163</t>
  </si>
  <si>
    <t>Treasures from Native California : The Legacy of Russian Exploration</t>
  </si>
  <si>
    <t>Hudson, Travis;Bates, Craig D.;Blackburn, Thomas;Johnson, John R.;Watrous, Stephen D.</t>
  </si>
  <si>
    <t>California - Discovery and exploration - Russian</t>
  </si>
  <si>
    <t>https://ebookcentral.proquest.com/lib/viva-active/detail.action?docID=1863789</t>
  </si>
  <si>
    <t>Native Women and Land : Narratives of Dispossession and Resurgence</t>
  </si>
  <si>
    <t>Fitzgerald, Stephanie J.</t>
  </si>
  <si>
    <t>Indians of North America -- Land tenure. ; Indian women -- North America -- Social conditions. ; Indian women -- Political activity -- North America. ; Environmentalism -- North America.</t>
  </si>
  <si>
    <t>https://ebookcentral.proquest.com/lib/viva-active/detail.action?docID=1865280</t>
  </si>
  <si>
    <t>Women's National Indian Association : A History</t>
  </si>
  <si>
    <t>Mathes, Valerie Sherer</t>
  </si>
  <si>
    <t>Women''s National Indian Association (U.S.) ; Indians of North America -- Cultural assimilation. ; Women -- Political activity -- United States -- History -- 19th century. ; Women political activists -- United States -- History -- 19th century. ; Women social reformers -- United States -- History -- 19th century.</t>
  </si>
  <si>
    <t>https://ebookcentral.proquest.com/lib/viva-active/detail.action?docID=1865282</t>
  </si>
  <si>
    <t>Reproductive Justice : The Politics of Health Care for Native American Women</t>
  </si>
  <si>
    <t>Gurr, Barbara</t>
  </si>
  <si>
    <t>Social Science; Medicine; Health</t>
  </si>
  <si>
    <t>Reproductive Rights - United States</t>
  </si>
  <si>
    <t>https://ebookcentral.proquest.com/lib/viva-active/detail.action?docID=1865296</t>
  </si>
  <si>
    <t>Indigenous Studies and Engaged Anthropology : The Collaborative Moment</t>
  </si>
  <si>
    <t>Sillitoe, Paul</t>
  </si>
  <si>
    <t>Indigenous peoples -- Research -- Methodology. ; Applied anthropology. ; Ethnology -- Methodology.</t>
  </si>
  <si>
    <t>https://ebookcentral.proquest.com/lib/viva-active/detail.action?docID=1869290</t>
  </si>
  <si>
    <t>English, Colonial, Modern and Maori : The Changing Faces of the Robert McDougall Art Gallery, Christchurch, New Zealand, 1932-2002</t>
  </si>
  <si>
    <t>Crighton, Anna</t>
  </si>
  <si>
    <t>Robert McDougall Art Gallery. ; Art, New Zealand -- Christchurch -- Catalogs.</t>
  </si>
  <si>
    <t>https://ebookcentral.proquest.com/lib/viva-active/detail.action?docID=1869464</t>
  </si>
  <si>
    <t>Culture in the American Southwest : The Earth, the Sky, the People</t>
  </si>
  <si>
    <t>Tarleton State University Southwestern Studies in the Humanities</t>
  </si>
  <si>
    <t>Bryant, Keith L.</t>
  </si>
  <si>
    <t>Indians of North America -- Cultural assimilation -- Southwest, New. ; Indians of North America -- Southwest, New -- Social life and customs. ; Whites -- Southwest, New -- Social life and customs. ; Southwest, New -- Cultural policy. ; Southwest, New -- Social life and customs.</t>
  </si>
  <si>
    <t>https://ebookcentral.proquest.com/lib/viva-active/detail.action?docID=1872385</t>
  </si>
  <si>
    <t>Forgotten People : Poverty, Risk and Social Security in Indonesia:The Case of the Madurese</t>
  </si>
  <si>
    <t>Power and Place in Southeast Asia</t>
  </si>
  <si>
    <t>Nooteboom, Gerben</t>
  </si>
  <si>
    <t>Social Science; Business/Management</t>
  </si>
  <si>
    <t>Poor -- Indonesia. ; Peasants -- Indonesia -- Java -- Economic conditions. ; Madurese (Indonesian people) -- Indonesia -- Kalimantan Timur -- Economic conditions.</t>
  </si>
  <si>
    <t>https://ebookcentral.proquest.com/lib/viva-active/detail.action?docID=1877211</t>
  </si>
  <si>
    <t>Trespassing : An Inquiry into the Private Ownership of Land</t>
  </si>
  <si>
    <t>University Press of New England</t>
  </si>
  <si>
    <t>Mitchell, John Hanson</t>
  </si>
  <si>
    <t>Law; Economics</t>
  </si>
  <si>
    <t>Right of property -- Massachusetts -- Littleton (Town) -- History. ; Commons -- Massachusetts -- Littleton (Town) -- History. ; Land tenure -- Law and legislation -- Massachusetts -- Littleton (Town) -- History.</t>
  </si>
  <si>
    <t>https://ebookcentral.proquest.com/lib/viva-active/detail.action?docID=1882437</t>
  </si>
  <si>
    <t>Protests, Land Rights, and Riots : Postcolonial Struggles in Australia in The 1980s</t>
  </si>
  <si>
    <t>Morris, Barry</t>
  </si>
  <si>
    <t>Aboriginal Australians -- Government relations -- Australia -- New South Wales -- History -- 20th century. ; Aboriginal Australians, Treatment of -- Australia -- New South Wales -- History -- 20th century. ; Aboriginal Australians -- Land tenure -- Australia -- New South Wales -- History -- 20th century. ; Aboriginal Australians -- Civil rights -- Australia -- New South Wales -- History -- 20th century. ; Protest movements -- Australia -- New South Wales -- History -- 20th century.</t>
  </si>
  <si>
    <t>https://ebookcentral.proquest.com/lib/viva-active/detail.action?docID=1882630</t>
  </si>
  <si>
    <t>A Desolate Place for a Defiant People : The Archaeology of Maroons, Indigenous Americans, and Enslaved Laborers in the Great Dismal Swamp</t>
  </si>
  <si>
    <t>Co-Published with the Society for Historical Archaeology Ser.</t>
  </si>
  <si>
    <t>Sayers, Daniel</t>
  </si>
  <si>
    <t>Archaeology - Dismal Swamp (N.C. and Va.)</t>
  </si>
  <si>
    <t>https://ebookcentral.proquest.com/lib/viva-active/detail.action?docID=1887344</t>
  </si>
  <si>
    <t>Remembering the Future : Warlpiri Life Through the Prism of Drawing</t>
  </si>
  <si>
    <t>Hinkson, Melinda</t>
  </si>
  <si>
    <t>Picture-writing -- Australia -- Northern Territory. ; Warlpiri (Australian people) -- Social life and customs. ; Warlpiri (Australian people).</t>
  </si>
  <si>
    <t>https://ebookcentral.proquest.com/lib/viva-active/detail.action?docID=1918615</t>
  </si>
  <si>
    <t>Indians Playing Indian : Multiculturalism and Contemporary Indigenous Art in North America</t>
  </si>
  <si>
    <t>Siebert, Monika</t>
  </si>
  <si>
    <t>Arts and society - Canada</t>
  </si>
  <si>
    <t>https://ebookcentral.proquest.com/lib/viva-active/detail.action?docID=1921164</t>
  </si>
  <si>
    <t>The Hogeye Clovis Cache</t>
  </si>
  <si>
    <t>Waters, Michael R.;Jennings, Thomas A.</t>
  </si>
  <si>
    <t>Clovis culture -- Texas -- Bastrop County. ; Clovis points -- Texas -- Bastrop County. ; Tools, Prehistoric -- Texas -- Bastrop County. ; Antiquities, Prehistoric -- Texas -- Bastrop County. ; Paleo-Indians -- Texas -- Bastrop County -- Antiquities. ; Excavations (Archaeology) -- Texas -- Bastrop County. ; Bastrop County (Tex.) -- Antiquities.</t>
  </si>
  <si>
    <t>https://ebookcentral.proquest.com/lib/viva-active/detail.action?docID=1921350</t>
  </si>
  <si>
    <t>Everything you Need to Know About the Referendum to Recognise Indigenous Australians</t>
  </si>
  <si>
    <t>NewSouth</t>
  </si>
  <si>
    <t>Davis, Megan;Williams, George</t>
  </si>
  <si>
    <t>Aboriginal Australians -- Australia. ; Australia -- Politics and government -- History. ; Constitutional history -- Australia. ; Referendum -- Australia -- History.</t>
  </si>
  <si>
    <t>https://ebookcentral.proquest.com/lib/viva-active/detail.action?docID=1924925</t>
  </si>
  <si>
    <t>Ties That Bind : The Story of an Afro-Cherokee Family in Slavery and Freedom</t>
  </si>
  <si>
    <t>American Crossroads Ser.</t>
  </si>
  <si>
    <t>African Americans - Kinship - Georgia</t>
  </si>
  <si>
    <t>https://ebookcentral.proquest.com/lib/viva-active/detail.action?docID=1925606</t>
  </si>
  <si>
    <t>So, How Long Have You Been Native? : Life as an Alaska Native Tour Guide</t>
  </si>
  <si>
    <t>Bunten, Alexis C.</t>
  </si>
  <si>
    <t>Tour guides (Persons) - Alaska - Sitka</t>
  </si>
  <si>
    <t>https://ebookcentral.proquest.com/lib/viva-active/detail.action?docID=1956654</t>
  </si>
  <si>
    <t>Van Diemen's Land : An Aboriginal History</t>
  </si>
  <si>
    <t>Johnson, Murray;Beckett, Jeremy</t>
  </si>
  <si>
    <t>Aboriginal Tasmanians -- Government relations. ; Aboriginal Tasmanians -- History. ; Tasmania -- History -- 1803-1900 -- Sources.</t>
  </si>
  <si>
    <t>https://ebookcentral.proquest.com/lib/viva-active/detail.action?docID=1963356</t>
  </si>
  <si>
    <t>Horse Nations : The Worldwide Impact of the Horse on Indigenous Societies Post-1492</t>
  </si>
  <si>
    <t>Mitchell, Peter</t>
  </si>
  <si>
    <t>Horses -- History. ; Horsemanship -- History.</t>
  </si>
  <si>
    <t>https://ebookcentral.proquest.com/lib/viva-active/detail.action?docID=1973784</t>
  </si>
  <si>
    <t>Conflict and Carnage in Yucatán : Liberals, the Second Empire, and Maya Revolutionaries, 1855-1876</t>
  </si>
  <si>
    <t>Richmond, Douglas W.</t>
  </si>
  <si>
    <t>Mayas -- Yucatán Peninsula -- Politics and government -- 19th century. ; Peasants -- Political activity -- Yucatán Peninsula -- History -- 19th century. ; Yucatán Peninsula -- Politics and government -- 19th century. ; Yucatán Peninsula -- History, Military -- 19th century.</t>
  </si>
  <si>
    <t>https://ebookcentral.proquest.com/lib/viva-active/detail.action?docID=1977415</t>
  </si>
  <si>
    <t>Native Americans in Sports</t>
  </si>
  <si>
    <t>King, C. Richard</t>
  </si>
  <si>
    <t>Indians of North America -- Sports -- Dictionaries. ; Indian athletes -- Biography -- Dictionaries. ; Indians of North America -- Societies, etc. -- Dictionaries. ; Sports -- United States -- Societies, etc. -- Dictionaries.</t>
  </si>
  <si>
    <t>https://ebookcentral.proquest.com/lib/viva-active/detail.action?docID=1986810</t>
  </si>
  <si>
    <t>The Archaeology of Race in the Northeast</t>
  </si>
  <si>
    <t>Matthews, Christopher N.;McGovern, Allison Manfra</t>
  </si>
  <si>
    <t>Archaeology and history -- Northeastern States. ; African Americans -- Northeastern States -- Antiquities. ; Indians of North America -- Northeastern States -- Antiquities. ; Excavations (Archaeology) -- Northeastern States. ; Northeastern States -- Race relations -- History. ; Northeastern States -- Antiquities.</t>
  </si>
  <si>
    <t>https://ebookcentral.proquest.com/lib/viva-active/detail.action?docID=1986981</t>
  </si>
  <si>
    <t>The Reluctant Pilgrim : A Skeptic's Journey into Native Mysteries</t>
  </si>
  <si>
    <t>Folklorists - Religious life - United States</t>
  </si>
  <si>
    <t>https://ebookcentral.proquest.com/lib/viva-active/detail.action?docID=1991145</t>
  </si>
  <si>
    <t>Changes in Ethical Worldviews of Spanish Missionaries in Mexico : An Ethical Transition from Sight to Touch in the 16th and 17th Centuries</t>
  </si>
  <si>
    <t>Tene, Ran</t>
  </si>
  <si>
    <t>Torquemada, Juan de, -- 1388-1468. ; Motolinía, Toribio, -- -1568. ; Missions -- Mexico -- History. ; Conversion -- Christianity. ; Psychology, Religious.</t>
  </si>
  <si>
    <t>https://ebookcentral.proquest.com/lib/viva-active/detail.action?docID=1991815</t>
  </si>
  <si>
    <t>Quechua Expressions of Stance and Deixis</t>
  </si>
  <si>
    <t>Manley, Marilyn;Muntendam, Antje</t>
  </si>
  <si>
    <t>Quechua language -- Terms and phrases. ; Quechua language -- Deixis. ; Quechua language -- Semantics. ; Quechua language -- Etymology. ; Indians of South America -- Ecuador -- Languages. ; Indians of South America -- Peru -- Cuzco -- Languages. ; Indians of South America -- Bolivia -- Languages.</t>
  </si>
  <si>
    <t>https://ebookcentral.proquest.com/lib/viva-active/detail.action?docID=1991829</t>
  </si>
  <si>
    <t>Arresting Incarceration : Pathways Out of Indigenous Imprisonment</t>
  </si>
  <si>
    <t>Weatherburn, Don</t>
  </si>
  <si>
    <t>Aboriginal Australians -- Services for. ; Aboriginal Australians -- Social conditions. ; Imprisonment -- Australia. ; Indigenous peoples -- Australia -- Social conditions.</t>
  </si>
  <si>
    <t>https://ebookcentral.proquest.com/lib/viva-active/detail.action?docID=2004277</t>
  </si>
  <si>
    <t>Sam Dellinger : Raiders of the Lost Arkansas</t>
  </si>
  <si>
    <t>University of Arkansas Press</t>
  </si>
  <si>
    <t>Mainfort, Robert C.</t>
  </si>
  <si>
    <t>Archaeologists - Arkansas</t>
  </si>
  <si>
    <t>https://ebookcentral.proquest.com/lib/viva-active/detail.action?docID=2007619</t>
  </si>
  <si>
    <t>The Headpots of Northeast Arkansas and Southern Pemiscot County, Missouri</t>
  </si>
  <si>
    <t>Cherry, James F.;Mainfort Jr., Robert C.</t>
  </si>
  <si>
    <t>Effigy pottery - Saint Francis River Valley (Mo. and Ark.) - Classification</t>
  </si>
  <si>
    <t>https://ebookcentral.proquest.com/lib/viva-active/detail.action?docID=2007630</t>
  </si>
  <si>
    <t>Pinson Mounds : Middle Woodland Ceremonialism in the Midsouth</t>
  </si>
  <si>
    <t xml:space="preserve">Mainfort Jr., Robert C.;Kwas, Mary L ;McNutt, Charles H ;Mickelson, Andrew M ;Thunen, Robert </t>
  </si>
  <si>
    <t>Indians of North America -- Tennessee. ; Pinson Mounds (Tenn.)</t>
  </si>
  <si>
    <t>https://ebookcentral.proquest.com/lib/viva-active/detail.action?docID=2007853</t>
  </si>
  <si>
    <t>When the Wolf Came : The Civil War and the Indian Territory</t>
  </si>
  <si>
    <t>The Civil War in the West</t>
  </si>
  <si>
    <t>Warde, Mary Jane</t>
  </si>
  <si>
    <t>Indians of North America -- History -- Civil War, 1861-1865. ; Indian Territory -- History, Military -- 19th century.</t>
  </si>
  <si>
    <t>https://ebookcentral.proquest.com/lib/viva-active/detail.action?docID=2007885</t>
  </si>
  <si>
    <t>No Small Change : The Road to Recognition for Indigenous Australia</t>
  </si>
  <si>
    <t>Brennan, Frank;Turner, Patricia</t>
  </si>
  <si>
    <t>Aboriginal Australians -- Legal status, laws, etc. ; Aboriginal Australians -- Legal status, laws, etc. -- History. ; Aboriginal Australians -- Civil rights. ; Referendum -- Australia. ; Torres Strait Islanders -- Legal status, laws, etc.</t>
  </si>
  <si>
    <t>https://ebookcentral.proquest.com/lib/viva-active/detail.action?docID=2011841</t>
  </si>
  <si>
    <t>The Newspaper Warrior : Sarah Winnemucca Hopkins's Campaign for American Indian Rights, 1864-1891</t>
  </si>
  <si>
    <t>Carpenter, Cari M.;Sorisio, Carolyn;Winnemucca Hopkins, Sarah</t>
  </si>
  <si>
    <t>Paiute Indians - Politics and government</t>
  </si>
  <si>
    <t>https://ebookcentral.proquest.com/lib/viva-active/detail.action?docID=2029993</t>
  </si>
  <si>
    <t>Travels with Frances Densmore : Her Life, Work, and Legacy in Native American Studies</t>
  </si>
  <si>
    <t>Jensen, Joan M.;Patterson, Michelle Wick</t>
  </si>
  <si>
    <t>Densmore, Frances - Ethnomusicological collections</t>
  </si>
  <si>
    <t>https://ebookcentral.proquest.com/lib/viva-active/detail.action?docID=2033748</t>
  </si>
  <si>
    <t>'What Do We Want?' : A Political History of Aboriginal Land Rights in New South Wales</t>
  </si>
  <si>
    <t>Norman, Heidi</t>
  </si>
  <si>
    <t>Aboriginal Australians -- Legal status, laws, etc. -- Australia -- New South Wales -- History. ; Land tenure -- Australia -- New South Wales -- History. ; Aboriginal Australians -- Land tenure -- Australia -- New South Wales.</t>
  </si>
  <si>
    <t>https://ebookcentral.proquest.com/lib/viva-active/detail.action?docID=2035888</t>
  </si>
  <si>
    <t>The Metamorphosis of Heads : Textual Struggles, Education, and Land in the Andes</t>
  </si>
  <si>
    <t>University of Pittsburgh Press</t>
  </si>
  <si>
    <t>Pitt Illuminations Ser.</t>
  </si>
  <si>
    <t>Arnold, Denise Y.;Yapita, Juan De Dios</t>
  </si>
  <si>
    <t>Aymara Indians -- Education. ; Inca textile fabrics. ; Indian literature -- Criticism, Textual. ; Indians of South America -- Andes Region -- Languages -- Writing. ; Indians of South America -- Education -- Bolivia. ; Literacy -- Bolivia. ; Peru -- History -- Conquest, 1522-1548. ; Quipu.</t>
  </si>
  <si>
    <t>https://ebookcentral.proquest.com/lib/viva-active/detail.action?docID=2038176</t>
  </si>
  <si>
    <t>Haerenga : Early Maori Journeys Across the Globe</t>
  </si>
  <si>
    <t>Bridget Williams Books</t>
  </si>
  <si>
    <t>BWB Texts</t>
  </si>
  <si>
    <t>O'Malley, Vincent</t>
  </si>
  <si>
    <t>Excavations (Archaeology) -- New Zealand. ; Maori (New Zealand people) -- Antiquities. ; Maori (New Zealand people) -- History. ; New Zealand -- History -- To 1840.</t>
  </si>
  <si>
    <t>https://ebookcentral.proquest.com/lib/viva-active/detail.action?docID=2038713</t>
  </si>
  <si>
    <t>The Andes Imagined : Indigenismo, Society, and Modernity</t>
  </si>
  <si>
    <t>Coronado, Jorge</t>
  </si>
  <si>
    <t>Ethnicity -- Peru -- History -- 20th century. ; Identity (Psychology) -- Peru. ; Peru -- Civilization -- 20th century. ; Peru -- Civilization -- Indian influences.</t>
  </si>
  <si>
    <t>https://ebookcentral.proquest.com/lib/viva-active/detail.action?docID=2038879</t>
  </si>
  <si>
    <t>The Curse of Nemur : In Search of the Art, Myth and Ritual of the Ishir</t>
  </si>
  <si>
    <t xml:space="preserve">Escobar, Ticio;Johnson, Adriana Michele Campos ;Taussig, Michael T. </t>
  </si>
  <si>
    <t>Chamacoco Indians -- Religion. ; Chamacoco Indians -- Rites and ceremonies. ; Chamacoco mythology.</t>
  </si>
  <si>
    <t>https://ebookcentral.proquest.com/lib/viva-active/detail.action?docID=2038883</t>
  </si>
  <si>
    <t>Acting Inca : National Belonging in Early Twentieth-Century Bolivia</t>
  </si>
  <si>
    <t>Pitt Latin American Ser.</t>
  </si>
  <si>
    <t>Kuenzli, E. Gabrielle</t>
  </si>
  <si>
    <t>Bolivia - History - Federal Revolution, 1898-1899 - Social aspects</t>
  </si>
  <si>
    <t>https://ebookcentral.proquest.com/lib/viva-active/detail.action?docID=2039383</t>
  </si>
  <si>
    <t>Hyperboreal</t>
  </si>
  <si>
    <t>Pitt Poetry Ser.</t>
  </si>
  <si>
    <t>Kane, Joan Naviyuk</t>
  </si>
  <si>
    <t>Alaska -- Poetry. ; American poetry. ; Poetry.</t>
  </si>
  <si>
    <t>https://ebookcentral.proquest.com/lib/viva-active/detail.action?docID=2039411</t>
  </si>
  <si>
    <t>Rhetoric in American Anthropology : Gender, Genre, and Science</t>
  </si>
  <si>
    <t>Composition, Literacy, and Culture Ser.</t>
  </si>
  <si>
    <t>Applegarth</t>
  </si>
  <si>
    <t>Anthropologists’ writings. ; Anthropology -- Philosophy. ; Ethnology -- History. ; Feminist anthropology. ; Women anthropologists.</t>
  </si>
  <si>
    <t>https://ebookcentral.proquest.com/lib/viva-active/detail.action?docID=2041605</t>
  </si>
  <si>
    <t>A Dangerous Idea : The Alaska Native Brotherhood and the Struggle for Indigenous Rights</t>
  </si>
  <si>
    <t>Metcalfe, Peter</t>
  </si>
  <si>
    <t>Alaska natives -- Civil rights -- History -- 19th century. ; Alaska natives -- Civil rights -- History -- 20th century. ; Alaska natives -- Land tenure -- History -- 19th century. ; Alaska natives -- Land tenure -- History -- 20th century.</t>
  </si>
  <si>
    <t>https://ebookcentral.proquest.com/lib/viva-active/detail.action?docID=2045772</t>
  </si>
  <si>
    <t>Braddock's Defeat : The Battle of the Monongahela and the Road to Revolution</t>
  </si>
  <si>
    <t>Preston, David L.</t>
  </si>
  <si>
    <t>Braddock’s Campaign, 1775. ; Monongahela, Battle of the, Pa., 1755. ; United States -- History -- Revolution, 1775-1783 -- Causes.</t>
  </si>
  <si>
    <t>https://ebookcentral.proquest.com/lib/viva-active/detail.action?docID=2048514</t>
  </si>
  <si>
    <t>Pioneering Archaeology in the Texas Coastal Bend : The Pape-Tunnell Collection</t>
  </si>
  <si>
    <t>Gulf Coast Books, sponsored by Texas A&amp;M University-Corpus Christi</t>
  </si>
  <si>
    <t>Tunnell, John W.;Tunnell, Jace;Hester, Thomas R.;Hester, Thomas R.</t>
  </si>
  <si>
    <t>Indians of North America--Texas--Coastal Bend--Antiquities.</t>
  </si>
  <si>
    <t>https://ebookcentral.proquest.com/lib/viva-active/detail.action?docID=2051287</t>
  </si>
  <si>
    <t>White Possessive : Property, Power, and Indigenous Sovereignty</t>
  </si>
  <si>
    <t xml:space="preserve">Aileen, Moreton-Robinson;Moreton-Robinson, Aileen </t>
  </si>
  <si>
    <t>Aboriginal Australians -- Ethnic identity. ; Aboriginal Australians -- Land tenure. ; Australia -- Race relations. ; National characteristics, Australian. ; Property -- Social aspects -- Australia. ; Race awareness -- Australia. ; Self-determination, National -- Australia. ; Whites -- Race identity -- Australia.</t>
  </si>
  <si>
    <t>https://ebookcentral.proquest.com/lib/viva-active/detail.action?docID=2051599</t>
  </si>
  <si>
    <t>Discovering South Carolina's Rock Art</t>
  </si>
  <si>
    <t>University of South Carolina Press</t>
  </si>
  <si>
    <t>Charles, Tommy</t>
  </si>
  <si>
    <t>Rock paintings--South Carolina.</t>
  </si>
  <si>
    <t>https://ebookcentral.proquest.com/lib/viva-active/detail.action?docID=2054730</t>
  </si>
  <si>
    <t>Creating and Contesting Carolina : Proprietary Era Histories</t>
  </si>
  <si>
    <t>The Carolina Lowcountry and the Atlantic World Ser.</t>
  </si>
  <si>
    <t>LeMaster, Michelle;Wood, Bradford J.</t>
  </si>
  <si>
    <t>Indians of North America--North Carolina--History. ; Indians of North America--South Carolina--History. ; North Carolina--History--Colonial period, ca . 1600-1775. ; South Carolina--History--Colonial period, ca. 1600-1775. ; Tuscarora Indians--Wars, 1711-1713.</t>
  </si>
  <si>
    <t>https://ebookcentral.proquest.com/lib/viva-active/detail.action?docID=2054770</t>
  </si>
  <si>
    <t>Three Peoples, One King : Loyalists, Indians, and Slaves in the American Revolutionary South, 1775-1782</t>
  </si>
  <si>
    <t>Piecuch, Jim</t>
  </si>
  <si>
    <t>American loyalists--Southern States.</t>
  </si>
  <si>
    <t>https://ebookcentral.proquest.com/lib/viva-active/detail.action?docID=2054801</t>
  </si>
  <si>
    <t>Gender and Sexuality in Indigenous North America, 1400-1850</t>
  </si>
  <si>
    <t>Yarbrough, Fay A.;Slater, Sandra</t>
  </si>
  <si>
    <t>Gender identity--United States--History.</t>
  </si>
  <si>
    <t>https://ebookcentral.proquest.com/lib/viva-active/detail.action?docID=2054803</t>
  </si>
  <si>
    <t>Among the Garifuna : Family Tales and Ethnography from the Caribbean Coast</t>
  </si>
  <si>
    <t>Wells, Marilyn McKillop</t>
  </si>
  <si>
    <t>Diego family</t>
  </si>
  <si>
    <t>https://ebookcentral.proquest.com/lib/viva-active/detail.action?docID=2075363</t>
  </si>
  <si>
    <t>Center Places and Cherokee Towns : Archaeological Perspectives on Native American Architecture and Landscape in the Southern Appalachians</t>
  </si>
  <si>
    <t>Rodning, Christopher B.</t>
  </si>
  <si>
    <t>Extinct cities - Appalachian Region, Southern</t>
  </si>
  <si>
    <t>https://ebookcentral.proquest.com/lib/viva-active/detail.action?docID=2076397</t>
  </si>
  <si>
    <t>Not Just Black and White</t>
  </si>
  <si>
    <t>Williams, Lesley;Williams, Tammy</t>
  </si>
  <si>
    <t>Aboriginal Australians -- Social conditions. ; Williams, Lesley. ; Williams, Tammy, -- 1978-</t>
  </si>
  <si>
    <t>https://ebookcentral.proquest.com/lib/viva-active/detail.action?docID=2120292</t>
  </si>
  <si>
    <t>Thatched Roofs and Open Sides : The Architecture of Chickees and Their Changing Role in Seminole Society</t>
  </si>
  <si>
    <t>Dilley, Carrie</t>
  </si>
  <si>
    <t>Indian architecture - Florida - History</t>
  </si>
  <si>
    <t>https://ebookcentral.proquest.com/lib/viva-active/detail.action?docID=2129481</t>
  </si>
  <si>
    <t>Hopewell Ceremonial Landscapes of Ohio : More Than Mounds and Geometric Earthworks</t>
  </si>
  <si>
    <t>Oxbow Books, Limited</t>
  </si>
  <si>
    <t>American Landscapes</t>
  </si>
  <si>
    <t>Lynott, Mark</t>
  </si>
  <si>
    <t>Hopewell Culture National Historical Park (Ohio) - Antiquities</t>
  </si>
  <si>
    <t>https://ebookcentral.proquest.com/lib/viva-active/detail.action?docID=2167194</t>
  </si>
  <si>
    <t>Facing Epistemic Uncertainty : Characteristics, possibilities, and limitations of a dynamic discursive approach to philosophy of education</t>
  </si>
  <si>
    <t>Uva Proefschriften</t>
  </si>
  <si>
    <t>Goor, Roel van</t>
  </si>
  <si>
    <t>Education--Philosophy.</t>
  </si>
  <si>
    <t>https://ebookcentral.proquest.com/lib/viva-active/detail.action?docID=3001919</t>
  </si>
  <si>
    <t>Taken from the Lips : Gender and Eros in Mesoamerican Religions</t>
  </si>
  <si>
    <t>Brill Academic Publishers</t>
  </si>
  <si>
    <t>Marcos, S.</t>
  </si>
  <si>
    <t>Indians of Mexico -- Religion. ; Indians of Mexico -- Rites and ceremonies. ; Indian women -- Mexico -- Historiography. ; Human body -- Symbolic aspects -- Mexico. ; Sex role -- Mexico. ; Mexico -- Social life and customs. ; Mexico -- Religious life and customs.</t>
  </si>
  <si>
    <t>https://ebookcentral.proquest.com/lib/viva-active/detail.action?docID=3004136</t>
  </si>
  <si>
    <t>Indian War Veterans : Memories of Army Life and Campaigns in the West, 1864-1898</t>
  </si>
  <si>
    <t>Savas Beatie</t>
  </si>
  <si>
    <t>Greene, Jerome</t>
  </si>
  <si>
    <t>United States -- History, Military.</t>
  </si>
  <si>
    <t>https://ebookcentral.proquest.com/lib/viva-active/detail.action?docID=3007459</t>
  </si>
  <si>
    <t>Savage Songs and Wild Romances : Settler Poetry and the Indigene, 1830-1880</t>
  </si>
  <si>
    <t>O'Leary, John</t>
  </si>
  <si>
    <t>Indians in literature.</t>
  </si>
  <si>
    <t>https://ebookcentral.proquest.com/lib/viva-active/detail.action?docID=3008296</t>
  </si>
  <si>
    <t>Kentucke's Frontiers</t>
  </si>
  <si>
    <t>History of the Trans-Appalachian Frontier</t>
  </si>
  <si>
    <t>Friend, Craig Thompson</t>
  </si>
  <si>
    <t>Frontier and pioneer life -- Kentucky. ; Indians of North America -- Kentucky -- History. ; Indians of North America -- Wars -- Kentucky. ; Patriarchy -- Kentucky -- History. ; Political culture -- Kentucky -- History. ; Religion and culture -- Kentucky -- History. ; Kentucky -- History -- To 1792.</t>
  </si>
  <si>
    <t>https://ebookcentral.proquest.com/lib/viva-active/detail.action?docID=3014850</t>
  </si>
  <si>
    <t>Our Greatest Challenge : Aboriginal Children and Human Rights</t>
  </si>
  <si>
    <t>McGlade, Hannah</t>
  </si>
  <si>
    <t>Child sexual abuse -- Australia. ; Children, Aboriginal Australian -- Crimes against. ; Children''s rights -- Australia.</t>
  </si>
  <si>
    <t>https://ebookcentral.proquest.com/lib/viva-active/detail.action?docID=3015196</t>
  </si>
  <si>
    <t>Demons, Saints and Patriots : Catholic Visions of Native America Through the Indian Sentinel, 1902-1962</t>
  </si>
  <si>
    <t>Marquette University Press</t>
  </si>
  <si>
    <t>Clatterbuck, Mark</t>
  </si>
  <si>
    <t>Catholic Church -- Missions -- United States -- History. ; Catholic Church -- Periodicals. ; Bureau of Catholic Indian Missions (U.S.) -- History. ; Indians of North America -- Missions. ; Indians of North America -- Public opinion. ; Indians of North America -- Cultural assimilation. ; Catholic Indians -- Social conditions.</t>
  </si>
  <si>
    <t>https://ebookcentral.proquest.com/lib/viva-active/detail.action?docID=3017136</t>
  </si>
  <si>
    <t>Water Sounds : Reminiscenses: North America's Missionary/Naturalist Jacques Marquette</t>
  </si>
  <si>
    <t>Fritsch,  Al s.j.</t>
  </si>
  <si>
    <t>Marquette, Jacques, -- 1637-1675. ; Jesuits -- North America -- Biography. ; Explorers -- North America -- Biography. ; Explorers -- France -- Biography. ; Missionaries -- North America -- Biography. ; Naturalists -- North America -- Biography. ; Natural history -- North America -- History -- 17th century.</t>
  </si>
  <si>
    <t>https://ebookcentral.proquest.com/lib/viva-active/detail.action?docID=3017147</t>
  </si>
  <si>
    <t>Alaskan Native Villages Threatened by Erosion</t>
  </si>
  <si>
    <t>Nova Science Publishers, Incorporated</t>
  </si>
  <si>
    <t>Environmental Science, Engineering and Technology</t>
  </si>
  <si>
    <t>Trevino, Russell M.</t>
  </si>
  <si>
    <t>Emergency management -- Alaska. ; Relocation (Housing) -- Alaska. ; Erosion -- Alaska. ; Floods -- Alaska. ; Villages -- Alaska. ; Alaska natives -- Government relations.</t>
  </si>
  <si>
    <t>https://ebookcentral.proquest.com/lib/viva-active/detail.action?docID=3019753</t>
  </si>
  <si>
    <t>Teller Tales : Histories</t>
  </si>
  <si>
    <t>Carson, Jo</t>
  </si>
  <si>
    <t>Dragging Canoe, -- d. 1792 -- Drama. ; King''s Mountain, Battle of, S.C., 1780 -- Drama. ; Cherokee Indians -- Drama. ; Tennessee -- Drama.</t>
  </si>
  <si>
    <t>https://ebookcentral.proquest.com/lib/viva-active/detail.action?docID=3026947</t>
  </si>
  <si>
    <t>Transitions : Archaic and Early Woodland Research in the Ohio Country</t>
  </si>
  <si>
    <t>Otto, Martha P.;Redmond, Brian G.</t>
  </si>
  <si>
    <t>Indians of North America -- Ohio -- Antiquities. ; Woodland Indians -- Ohio -- Antiquities. ; Paleo-Indians -- Ohio -- Antiquities. ; Excavations (Archaeology) -- Ohio. ; Ohio -- Antiquities.</t>
  </si>
  <si>
    <t>https://ebookcentral.proquest.com/lib/viva-active/detail.action?docID=3026973</t>
  </si>
  <si>
    <t>Language Issues in Comparative Education : Inclusive Teaching and Learning in Non-Dominant Languages and Cultures</t>
  </si>
  <si>
    <t>Comparative and International Education: Diversity of Voices Ser.</t>
  </si>
  <si>
    <t>Benson, Carol;Kosonen, Kimmo</t>
  </si>
  <si>
    <t>Language and education.</t>
  </si>
  <si>
    <t>https://ebookcentral.proquest.com/lib/viva-active/detail.action?docID=3034843</t>
  </si>
  <si>
    <t>Contemporary Studies in Environmental and Indigenous Pedagogies : A Curricula of Stories and Place</t>
  </si>
  <si>
    <t>Other Books</t>
  </si>
  <si>
    <t>Kulnieks, Andrejs;Longboat, Dan Roronhiakewen;Young, Kelly</t>
  </si>
  <si>
    <t>Critical pedagogy.</t>
  </si>
  <si>
    <t>https://ebookcentral.proquest.com/lib/viva-active/detail.action?docID=3034857</t>
  </si>
  <si>
    <t>Working Cross-Culturally : Identity Learning, Border Crossing and Culture Brokering</t>
  </si>
  <si>
    <t>Michie, Michael</t>
  </si>
  <si>
    <t>Teachers -- Training of. ; Multicultural education.</t>
  </si>
  <si>
    <t>https://ebookcentral.proquest.com/lib/viva-active/detail.action?docID=3034989</t>
  </si>
  <si>
    <t>Ladinos with Ladinos, Indians with Indians : Land, Labor, and Regional Ethnic Conflict in the Making of Guatemala</t>
  </si>
  <si>
    <t>Reeves, René</t>
  </si>
  <si>
    <t>Mayas -- Guatemala -- Ethnic identity. ; Mayas -- Land tenure -- Guatemala. ; Mayas -- Guatemala -- Politics and government. ; Ladino (Latin American people) -- Guatemala -- Ethnic identity. ; Ladino (Latin American people) -- Land tenure -- Guatemala. ; Ladino (Latin American people) -- Guatemala -- Politics and government. ; Land reform -- Guatemala -- History.</t>
  </si>
  <si>
    <t>https://ebookcentral.proquest.com/lib/viva-active/detail.action?docID=3037540</t>
  </si>
  <si>
    <t>Holy Ground, Healing Water : Cultural Landscapes at Waconda Lake, Kansas</t>
  </si>
  <si>
    <t>Environmental History</t>
  </si>
  <si>
    <t>Blakeslee, Donald J.</t>
  </si>
  <si>
    <t>Indians of North America -- Kansas -- Waconda Lake -- Antiquities. ; Indians of North America -- Kansas -- Waconda Lake -- Social life and customs. ; Excavations (Archaeology) -- Kansas -- Waconda Lake. ; Landscape protection -- Kansas -- Waconda Lake. ; Waconda Lake (Kan.) -- Antiquities. ; Waconda Lake (Kan.) -- History. ; Waconda Lake (Kan.) -- Description and travel.</t>
  </si>
  <si>
    <t>https://ebookcentral.proquest.com/lib/viva-active/detail.action?docID=3037757</t>
  </si>
  <si>
    <t>Arch Lake Woman : Physical Anthropology and Geoarchaeology</t>
  </si>
  <si>
    <t>Owsley, Douglas W.;Jodry, Margaret A.;Stafford, Thomas W.</t>
  </si>
  <si>
    <t>Arch Lake Woman. ; Antiquities, Prehistoric -- New Mexico -- Roosevelt County. ; Paleo-Indians -- New Mexico -- Roosevelt County. ; Indians of North America -- Anthropometry -- New Mexico -- Roosevelt County. ; Excavations (Archaeology) -- New Mexico -- Roosevelt County. ; Arch Lake Burial Site (N.M.) ; Roosevelt County (N.M.) -- Antiquities.</t>
  </si>
  <si>
    <t>https://ebookcentral.proquest.com/lib/viva-active/detail.action?docID=3037823</t>
  </si>
  <si>
    <t>Drumbeats from Mescalero : Conversations with Apache Elders, Warriors, and Horseholders</t>
  </si>
  <si>
    <t xml:space="preserve">Stockel, H. Henrietta;Kelley, Marian D. </t>
  </si>
  <si>
    <t>Apache Indians -- New Mexico -- Mescalero Indian Reservation -- Interviews. ; Apache Indians -- New Mexico -- Mescalero Indian Reservation -- History. ; Mescalero Apache Tribe of the Mescalero Reservation, New Mexico.</t>
  </si>
  <si>
    <t>https://ebookcentral.proquest.com/lib/viva-active/detail.action?docID=3037978</t>
  </si>
  <si>
    <t>Indian Agent : Peter Ellis Bean in Mexican Texas</t>
  </si>
  <si>
    <t>Canseco-Keck History Series</t>
  </si>
  <si>
    <t>Jackson, Jack</t>
  </si>
  <si>
    <t>Bean, Peter Ellis, -- 1783-1846. ; Indian agents -- Texas -- Biography. ; Indians of North America -- Texas -- Government relations. ; Texas -- History -- To 1846.</t>
  </si>
  <si>
    <t>https://ebookcentral.proquest.com/lib/viva-active/detail.action?docID=3038015</t>
  </si>
  <si>
    <t>Listening to the Land : Native American Literary Responses to the Landscape</t>
  </si>
  <si>
    <t>American literature -- Indian authors -- History and criticism. ; Human ecology in literature. ; Indians in literature. ; Stereotypes (Social psychology) in literature. ; Environmental ethics. ; Indian ethics -- North America. ; Indian philosophy -- North America.</t>
  </si>
  <si>
    <t>https://ebookcentral.proquest.com/lib/viva-active/detail.action?docID=3038849</t>
  </si>
  <si>
    <t>Race and the Atlanta Cotton States Exposition Of 1895</t>
  </si>
  <si>
    <t>Georgia Southern University Jack N. and Addie D. Averitt Lecture</t>
  </si>
  <si>
    <t xml:space="preserve">Perdue, Theda;Downs, Alan C. ;Sims, Anastatia </t>
  </si>
  <si>
    <t>Cotton States Exposition -- (1895 : -- Atlanta, Ga.) ; Racism -- Southern States -- History -- 19th century. ; African Americans -- Southern States -- History -- 19th century. ; Indians of North America -- Southern States -- History -- 19th century. ; Marginality, Social -- Southern States -- History -- 19th century. ; Whites -- Southern States -- History -- 19th century. ; Globalization -- Social aspects -- Southern States -- History -- 19th century.</t>
  </si>
  <si>
    <t>https://ebookcentral.proquest.com/lib/viva-active/detail.action?docID=3039028</t>
  </si>
  <si>
    <t>Reconstructing the Native South : American Indian Literature and the Lost Cause</t>
  </si>
  <si>
    <t>New Southern Studies</t>
  </si>
  <si>
    <t>Benson Taylor, Melanie</t>
  </si>
  <si>
    <t>American literature -- Indian authors -- History and criticism. ; Indians in literature. ; Southern States -- In literature.</t>
  </si>
  <si>
    <t>https://ebookcentral.proquest.com/lib/viva-active/detail.action?docID=3039080</t>
  </si>
  <si>
    <t>Seminole Voices : Reflections on Their Changing Society, 1970-2000</t>
  </si>
  <si>
    <t>Pleasants, Julian M;Kersey, Harry A.</t>
  </si>
  <si>
    <t>Seminole Indians -- Social conditions. ; Seminole Indians -- Education. ; Seminole Indians -- Religion. ; Seminole Indians -- Medicine. ; Seminole Indians -- Housing. ; Seminole Indians -- Rites and ceremonies. ; Seminole Indians -- Ethnic identity.</t>
  </si>
  <si>
    <t>https://ebookcentral.proquest.com/lib/viva-active/detail.action?docID=3039357</t>
  </si>
  <si>
    <t>Algonquian Spirit : Contemporary Translations of the Algonquian Literatures of North America</t>
  </si>
  <si>
    <t>Swann, Brian.</t>
  </si>
  <si>
    <t>Algonquian literature -- North America. ; Algonquian mythology -- North America. ; Algonquian Indians -- Songs and music. ; Algonquian languages -- Texts. ; Legends -- North America. ; North America -- Folklore.</t>
  </si>
  <si>
    <t>https://ebookcentral.proquest.com/lib/viva-active/detail.action?docID=3039365</t>
  </si>
  <si>
    <t>Choctaw Reference Grammar</t>
  </si>
  <si>
    <t>Broadwell, George Aaron.</t>
  </si>
  <si>
    <t>Choctaw language--Grammar.</t>
  </si>
  <si>
    <t>https://ebookcentral.proquest.com/lib/viva-active/detail.action?docID=3039366</t>
  </si>
  <si>
    <t>Native Athletes in Sport and Society</t>
  </si>
  <si>
    <t>Indian athletes -- United States -- History. ; Indians of North America -- Sports -- History. ; Indians of North America -- Social conditions.</t>
  </si>
  <si>
    <t>https://ebookcentral.proquest.com/lib/viva-active/detail.action?docID=3039382</t>
  </si>
  <si>
    <t>Alanis Obomsawin : The Vision of a Native Filmmaker</t>
  </si>
  <si>
    <t>Lewis, Randolph.</t>
  </si>
  <si>
    <t>Obomsawin, Alanis -- Criticism and interpretation.</t>
  </si>
  <si>
    <t>https://ebookcentral.proquest.com/lib/viva-active/detail.action?docID=3039383</t>
  </si>
  <si>
    <t>Sacred Sites : The Secret History of Southern California</t>
  </si>
  <si>
    <t>Suntree, Susan;Nogai, Juergen</t>
  </si>
  <si>
    <t>Cosmology -- Poetry. ; Natural history -- North America -- Poetry. ; Indians of North America -- Poetry. ; Indian mythology -- California, Southern -- Poetry. ; California, Southern -- History -- Poetry.</t>
  </si>
  <si>
    <t>https://ebookcentral.proquest.com/lib/viva-active/detail.action?docID=3039384</t>
  </si>
  <si>
    <t>Phantom Past, Indigenous Presence : Native Ghosts in North American Culture and History</t>
  </si>
  <si>
    <t>Boyd, Colleen E;Thrush, Coll</t>
  </si>
  <si>
    <t>Indian mythology -- North America. ; Indians of North America -- Religion. ; Ghosts -- North America. ; Ghosts in literature. ; Indians in literature.</t>
  </si>
  <si>
    <t>https://ebookcentral.proquest.com/lib/viva-active/detail.action?docID=3039394</t>
  </si>
  <si>
    <t>Sharing Our Knowledge : The Tlingit and Their Coastal Neighbors</t>
  </si>
  <si>
    <t>Kan, Sergei;Henrikson, Steve</t>
  </si>
  <si>
    <t>Tlingit Indians -- Social life and customs. ; Tlingit Indians -- History. ; Tlingit Indians -- Languages. ; Tlingit art. ; Indians of North America -- Alaska -- Pacific Coast -- Social life and customs. ; Indians of North America -- British Columbia -- Pacific Coast -- Social life and customs. ; Indians of North America -- Alaska -- Pacific Coast -- Languages.</t>
  </si>
  <si>
    <t>https://ebookcentral.proquest.com/lib/viva-active/detail.action?docID=3039405</t>
  </si>
  <si>
    <t>The Complete Seymour : Colville Storyteller</t>
  </si>
  <si>
    <t>Mattina, Anthony;DeSautel, Madeline;Seymour, Peter J.</t>
  </si>
  <si>
    <t>Salish language.</t>
  </si>
  <si>
    <t>https://ebookcentral.proquest.com/lib/viva-active/detail.action?docID=3039414</t>
  </si>
  <si>
    <t>From the Center of Tradition : Critical Perspectives on Linda Hogan</t>
  </si>
  <si>
    <t>University Press of Colorado</t>
  </si>
  <si>
    <t>Cook, Barbara J.</t>
  </si>
  <si>
    <t>Hogan, Linda -- Criticism and interpretation. ; Women and literature -- United States -- History -- 20th century. ; Chickasaw Indians -- Intellectual life. ; Indians in literature.</t>
  </si>
  <si>
    <t>https://ebookcentral.proquest.com/lib/viva-active/detail.action?docID=3039683</t>
  </si>
  <si>
    <t>Archaeological Landscapes on the High Plains</t>
  </si>
  <si>
    <t>Scheiber, Laura L.;Clark, Bonnie J.</t>
  </si>
  <si>
    <t>Excavations (Archaeology) -- High Plains (U.S.) ; Historic sites -- High Plains (U.S.) ; Landscape archaeology -- High Plains (U.S.) ; Archaeology and history -- High Plains (U.S.) ; Social archaeology -- High Plains (U.S.) ; Indians of North America -- High Plains (U.S.) -- Antiquities. ; Human ecology -- High Plains (U.S.) -- History.</t>
  </si>
  <si>
    <t>https://ebookcentral.proquest.com/lib/viva-active/detail.action?docID=3039688</t>
  </si>
  <si>
    <t>Sweeping the Way : Divine Transformation in the Aztec Festival of Ochpaniztli</t>
  </si>
  <si>
    <t>Mesoamerican Worlds</t>
  </si>
  <si>
    <t>DiCesare, Catherine</t>
  </si>
  <si>
    <t>Codex Borbonicus. ; Aztecs -- Rites and ceremonies. ; Aztecs -- Religion. ; Picture-writing -- Mexico. ; Human sacrifice -- Mexico. ; Aztecs -- Historiography.</t>
  </si>
  <si>
    <t>https://ebookcentral.proquest.com/lib/viva-active/detail.action?docID=3039690</t>
  </si>
  <si>
    <t>Denver : An Archaeological History</t>
  </si>
  <si>
    <t>Timberline Books</t>
  </si>
  <si>
    <t>Nelson, Sarah M.;Leonard, Stephen J.;Carillo, Richard F.;Clark, Bonnie J.;Rhodes, Lori E.;Saitta, Dean</t>
  </si>
  <si>
    <t>Frontier and pioneer life -- Colorado -- Denver Region. ; Indians of North America -- Colorado -- Denver Region -- Antiquities. ; Denver (Colo.) -- Antiquities. ; Denver Region (Colo.) -- Antiquities. ; Denver (Colo.) -- History. ; Denver Region (Colo.) -- History.</t>
  </si>
  <si>
    <t>https://ebookcentral.proquest.com/lib/viva-active/detail.action?docID=3039691</t>
  </si>
  <si>
    <t>Origins of the Ñuu : Archaeology in the Mixteca Alta, Mexico</t>
  </si>
  <si>
    <t>Kowalewski, Stephen A.;Balkansky, Andrew K.;Stiver Walsh, Laura R.;Pluckhahn, Thomas J.;Chamblee, John F.;P, Veronica;Heredia Espinoza, Verenice Y.;Smith, Charlotte A.;Kowalewski, Stephen A</t>
  </si>
  <si>
    <t>Mixtec Indians -- Origin. ; Mixtec Indians -- History. ; Mixtec Indians -- Antiquities. ; Oaxaca (Mexico : State) -- Antiquities.</t>
  </si>
  <si>
    <t>https://ebookcentral.proquest.com/lib/viva-active/detail.action?docID=3039696</t>
  </si>
  <si>
    <t>Social Change and the Evolution of Ceramic Production and Distribution in a Maya Community</t>
  </si>
  <si>
    <t>Arnold, Dean E.</t>
  </si>
  <si>
    <t>Maya pottery -- Mexico -- Ticul. ; Maya pottery -- Analysis. ; Mayas -- Mexico -- Ticul -- Social conditions. ; Pottery industry -- Mexico -- Ticul. ; Social change -- Mexico -- Ticul. ; Ticul (Mexico) -- Social conditions.</t>
  </si>
  <si>
    <t>https://ebookcentral.proquest.com/lib/viva-active/detail.action?docID=3039697</t>
  </si>
  <si>
    <t>Maya Daykeeping : Three Calendars from Highland Guatemala</t>
  </si>
  <si>
    <t>Weeks, John M.;Sachse, Frauke;Prager, Christian M.</t>
  </si>
  <si>
    <t>History; Science; Science: Astronomy</t>
  </si>
  <si>
    <t>Maya calendar. ; Maya philosophy. ; Maya mythology. ; Mayan languages -- Writing.</t>
  </si>
  <si>
    <t>https://ebookcentral.proquest.com/lib/viva-active/detail.action?docID=3039699</t>
  </si>
  <si>
    <t>The Arapaho Language</t>
  </si>
  <si>
    <t>Cowell, Andrew;Moss, Sr., Alonzo;Moss, Alonzo</t>
  </si>
  <si>
    <t>Arapaho language -- Grammar.</t>
  </si>
  <si>
    <t>https://ebookcentral.proquest.com/lib/viva-active/detail.action?docID=3039700</t>
  </si>
  <si>
    <t>The Sun God and the Savior : The Christianization of the Nahua and Totonac in the Sierra Norte de Puebla, Mexico</t>
  </si>
  <si>
    <t>Stresser-Péan, Guy;López Austin, Alfredo;Nagao, Debra</t>
  </si>
  <si>
    <t>Nahuas -- Mexico -- Puebla (State) -- Religion. ; Nahuas -- Missions -- Mexico -- Puebla (State) ; Nahuas -- Mexico -- Puebla (State) -- Rites and ceremonies. ; Totonac Indians -- Mexico -- Puebla (State) -- Religion. ; Totonac Indians -- Missions -- Mexico -- Puebla (State) ; Totonac Indians -- Mexico -- Puebla (State) -- Rites and ceremonies. ; Christianity and culture -- Mexico -- Puebla (State)</t>
  </si>
  <si>
    <t>https://ebookcentral.proquest.com/lib/viva-active/detail.action?docID=3039702</t>
  </si>
  <si>
    <t>The End of Time : The Maya Mystery of 2012</t>
  </si>
  <si>
    <t>Aveni, Anthony</t>
  </si>
  <si>
    <t>General Works/Reference; Science; Science: Astronomy</t>
  </si>
  <si>
    <t>Maya calendar</t>
  </si>
  <si>
    <t>https://ebookcentral.proquest.com/lib/viva-active/detail.action?docID=3039709</t>
  </si>
  <si>
    <t>Maya Worldviews at Conquest</t>
  </si>
  <si>
    <t>Cecil, Leslie G.;Pugh, Timothy W.;Cecil, Leslie</t>
  </si>
  <si>
    <t>Maya philosophy. ; Mayas -- Religion. ; Mayas -- Antiquities. ; Mayas -- Rites and ceremonies. ; Mayas -- First contact with Europeans.</t>
  </si>
  <si>
    <t>https://ebookcentral.proquest.com/lib/viva-active/detail.action?docID=3039710</t>
  </si>
  <si>
    <t>The Lords of Lambityeco : Political Evolution in the Valley of Oaxaca during the Xoo Phase</t>
  </si>
  <si>
    <t>Lind, Michael;Urcid, Javier;Urcid, Javier;Michael Lind,;Javier Urcid,;Urcid, Associate Professor Javier</t>
  </si>
  <si>
    <t>Excavations (Archaeology) -- Mexico -- Lambityeco Site. ; Zapotec Indians -- Antiquities. ; Zapotec Indians -- Politics and government. ; Social archaeology -- Mexico -- Oaxaca Valley. ; Lambityeco Site (Mexico) ; Oaxaca Valley (Mexico) -- Antiquities.</t>
  </si>
  <si>
    <t>https://ebookcentral.proquest.com/lib/viva-active/detail.action?docID=3039716</t>
  </si>
  <si>
    <t>Indians and Mestizos in the "Lettered City" : Reshaping Justice, Social Hierarchy, and Political Culture in Colonial Peru</t>
  </si>
  <si>
    <t>Duenas, Alcira;Dueñas, Alcira</t>
  </si>
  <si>
    <t>Political culture - Peru - History</t>
  </si>
  <si>
    <t>https://ebookcentral.proquest.com/lib/viva-active/detail.action?docID=3039726</t>
  </si>
  <si>
    <t>Negotiation within Domination : New Spain's Indian Pueblos Confront the Spanish State</t>
  </si>
  <si>
    <t>Ruiz Medrano, Ethelia;Kellogg, Susan;Davidson, Russ</t>
  </si>
  <si>
    <t>Indians, Treatment of - Mexico - History</t>
  </si>
  <si>
    <t>https://ebookcentral.proquest.com/lib/viva-active/detail.action?docID=3039728</t>
  </si>
  <si>
    <t>Maya Creation Myths : Words and Worlds of the Chilam Balam</t>
  </si>
  <si>
    <t>Knowlton, Timothy;Aveni, Anthony</t>
  </si>
  <si>
    <t>Maya mythology</t>
  </si>
  <si>
    <t>https://ebookcentral.proquest.com/lib/viva-active/detail.action?docID=3039731</t>
  </si>
  <si>
    <t>The Apotheosis of Janaab' Pakal : Science, History, and Religion at Classic Maya Palenque</t>
  </si>
  <si>
    <t>Aldana, Gerardo</t>
  </si>
  <si>
    <t>Maya astronomy -- Mexico -- Palenque (Chiapas) ; Maya cosmology -- Mexico -- Palenque (Chiapas) ; Mayan languages -- Writing. ; Palenque Site (Mexico)</t>
  </si>
  <si>
    <t>https://ebookcentral.proquest.com/lib/viva-active/detail.action?docID=3039734</t>
  </si>
  <si>
    <t>Mexico's Indigenous Communities : Their Lands and Histories, 1500-2010</t>
  </si>
  <si>
    <t>Ruiz Medrano, Ethelia;Davidson, Russ</t>
  </si>
  <si>
    <t>Ethnohistory - Mexico</t>
  </si>
  <si>
    <t>https://ebookcentral.proquest.com/lib/viva-active/detail.action?docID=3039735</t>
  </si>
  <si>
    <t>Movement, Connectivity, and Landscape Change in the Ancient Southwest</t>
  </si>
  <si>
    <t>Proceedings of SW Symposium</t>
  </si>
  <si>
    <t>Nelson, Margaret C.;Strawhacker, Colleen A.;Nelson, Margaret Cecile;Strawhacker, Colleen A</t>
  </si>
  <si>
    <t>Nature - Effect of human beings on - Southwest, New - History - To 1500</t>
  </si>
  <si>
    <t>https://ebookcentral.proquest.com/lib/viva-active/detail.action?docID=3039740</t>
  </si>
  <si>
    <t>The Carnegie Maya III : Carnegie Institution of Washington Notes on Middle American Archaeology and Ethnology, 1940-1957</t>
  </si>
  <si>
    <t>Weeks, John M.</t>
  </si>
  <si>
    <t>Archaeological expeditions - Central America - History - 20th century</t>
  </si>
  <si>
    <t>https://ebookcentral.proquest.com/lib/viva-active/detail.action?docID=3039742</t>
  </si>
  <si>
    <t>Networks of Power : Political Relations in the Late Postclassic Naco Valley</t>
  </si>
  <si>
    <t>Schortman, Edward;Urban, Patricia;Urban, Patricia A</t>
  </si>
  <si>
    <t>Elites (Social sciences) - Honduras - Naco Valley</t>
  </si>
  <si>
    <t>https://ebookcentral.proquest.com/lib/viva-active/detail.action?docID=3039744</t>
  </si>
  <si>
    <t>Contemporary Archaeologies of the Southwest</t>
  </si>
  <si>
    <t>Walker, William;Venzor, Kathryn R.;Venzor, Kathryn R</t>
  </si>
  <si>
    <t>Land settlement patterns, Prehistoric - Southwest, New - Congresses</t>
  </si>
  <si>
    <t>https://ebookcentral.proquest.com/lib/viva-active/detail.action?docID=3039746</t>
  </si>
  <si>
    <t>Ethnicity in Ancient Amazonia : Reconstructing Past Identities from Archaeology, Linguistics, and Ethnohistory</t>
  </si>
  <si>
    <t>Hornborg, Alf;Hill, Jonathan D.</t>
  </si>
  <si>
    <t>Ethnohistory - Amazon River Region</t>
  </si>
  <si>
    <t>https://ebookcentral.proquest.com/lib/viva-active/detail.action?docID=3039753</t>
  </si>
  <si>
    <t>Indigenous Dance and Dancing Indian : Contested Representation in the Global Era</t>
  </si>
  <si>
    <t>Krystal, Matthew</t>
  </si>
  <si>
    <t>Indian dance</t>
  </si>
  <si>
    <t>https://ebookcentral.proquest.com/lib/viva-active/detail.action?docID=3039757</t>
  </si>
  <si>
    <t>The Invasion of Indian Country in the Twentieth Century : American Capitalism and Tribal Natural Resources, Second Edition</t>
  </si>
  <si>
    <t>Fixico, Donald;Fixico, Donald Lee</t>
  </si>
  <si>
    <t>Natural resources - United States</t>
  </si>
  <si>
    <t>https://ebookcentral.proquest.com/lib/viva-active/detail.action?docID=3039759</t>
  </si>
  <si>
    <t>Utatlán : The Constituted Community of the K'iche' Maya of Q'umarkaj</t>
  </si>
  <si>
    <t>Babcock, Thomas F.</t>
  </si>
  <si>
    <t>Ethnoarchaeology - Guatemala - Quichae Region</t>
  </si>
  <si>
    <t>https://ebookcentral.proquest.com/lib/viva-active/detail.action?docID=3039761</t>
  </si>
  <si>
    <t>Ancient Households of the Americas : Conceptualizing What Households Do</t>
  </si>
  <si>
    <t>Douglass, John G.;Gonlin, Nancy;Gonlin, Nancy</t>
  </si>
  <si>
    <t>Americax - Antiquities</t>
  </si>
  <si>
    <t>https://ebookcentral.proquest.com/lib/viva-active/detail.action?docID=3039766</t>
  </si>
  <si>
    <t>The Carnegie Maya IV : Carnegie Institution of Washington Theoretical Approaches to Problems, 1941-1947</t>
  </si>
  <si>
    <t>Archaeological expeditions - Mexico - Yucataan (State) - History</t>
  </si>
  <si>
    <t>https://ebookcentral.proquest.com/lib/viva-active/detail.action?docID=3039767</t>
  </si>
  <si>
    <t>Fanning the Sacred Flame : Mesoamerican Studies in Honor of H. B. Nicholson</t>
  </si>
  <si>
    <t>Boxt, Matthew A.;Dillon, Brian D.</t>
  </si>
  <si>
    <t>Nicholson, H. B</t>
  </si>
  <si>
    <t>https://ebookcentral.proquest.com/lib/viva-active/detail.action?docID=3039775</t>
  </si>
  <si>
    <t>Dinéjí Na`nitin : Navajo Traditional Teachings and History</t>
  </si>
  <si>
    <t>McPherson, Robert S.</t>
  </si>
  <si>
    <t>Navajo Indians - History</t>
  </si>
  <si>
    <t>https://ebookcentral.proquest.com/lib/viva-active/detail.action?docID=3039782</t>
  </si>
  <si>
    <t>Polity and Ecology in Formative Period Coastal Oaxaca</t>
  </si>
  <si>
    <t>Joyce, Arthur A.</t>
  </si>
  <si>
    <t>Verde River Valley (San Luis Potosai, Mexico) - Antiquities</t>
  </si>
  <si>
    <t>https://ebookcentral.proquest.com/lib/viva-active/detail.action?docID=3039786</t>
  </si>
  <si>
    <t>An Inca Account of the Conquest of Peru</t>
  </si>
  <si>
    <t xml:space="preserve">Yupanqui, Titu Cusi;Bauer, Ralph </t>
  </si>
  <si>
    <t>Peru -- History -- Conquest, 1522-1548. ; Peru -- History -- 1548-1820.</t>
  </si>
  <si>
    <t>https://ebookcentral.proquest.com/lib/viva-active/detail.action?docID=3039809</t>
  </si>
  <si>
    <t>Histories of Infamy : Francisco López de Gómara and the Ethics of Spanish Imperialism</t>
  </si>
  <si>
    <t>Roa-de-la-Carrera, Cristián A.;Sessions, Scott</t>
  </si>
  <si>
    <t>López de Gómara, Francisco, -- 1511-1564. -- Historia general de las Indias. ; Indians, Treatment of -- Historiography. ; Imperialism -- History -- 16th century -- Historiography. ; America -- Early works to 1800 -- History and criticism. ; America -- Discovery and exploration -- Spanish -- Early works to 1800 -- History and criticism. ; Spain -- Colonies -- America -- Historiography. ; Mexico -- History -- Conquest, 1519-1540 -- Historiography.</t>
  </si>
  <si>
    <t>https://ebookcentral.proquest.com/lib/viva-active/detail.action?docID=3039820</t>
  </si>
  <si>
    <t>The Neo-Indians : A Religion for the Third Millenium</t>
  </si>
  <si>
    <t>Galinier, Jacques;Molinié, Antoinette;Grant, Lucy Lyall</t>
  </si>
  <si>
    <t>Indians -- Religion. ; Indians -- Rites and ceremonies. ; Rites and ceremonies -- Latin America. ; Latin America -- Religious life and customs.</t>
  </si>
  <si>
    <t>https://ebookcentral.proquest.com/lib/viva-active/detail.action?docID=3039827</t>
  </si>
  <si>
    <t>Material Relations : The Marriage Figurines of Prehispanic Honduras</t>
  </si>
  <si>
    <t>Hendon, Julia A.;Joyce, Rosemary A.;Lopiparo, Jeanne</t>
  </si>
  <si>
    <t>Indians of Central America -- Honduras -- Antiquities. ; Indians of Central America -- Honduras -- Rites and ceremonies. ; Indians of Central America -- Social networks -- Honduras. ; Marriage -- Honduras -- History -- To 1500. ; Figurines -- Honduras -- History -- To 1500. ; Material culture -- Honduras -- History -- To 1500. ; Community life -- Honduras -- History -- To 1500.</t>
  </si>
  <si>
    <t>https://ebookcentral.proquest.com/lib/viva-active/detail.action?docID=3039829</t>
  </si>
  <si>
    <t>Space-Time Perspectives on Early Colonial Moquegua</t>
  </si>
  <si>
    <t>Rice, Prudence M.</t>
  </si>
  <si>
    <t>Moquegua (Peru: Department) - History</t>
  </si>
  <si>
    <t>https://ebookcentral.proquest.com/lib/viva-active/detail.action?docID=3039830</t>
  </si>
  <si>
    <t>Wearing Culture : Dress and Regalia in Early Mesoamerica and Central America</t>
  </si>
  <si>
    <t>Orr, Heather;Looper, Matthew;Blomster, Jeffrey P;Clark, John E;Colman, Dr Arlene;Earley, Caitlin</t>
  </si>
  <si>
    <t>Indians of Mexico -- Clothing. ; Indians of Mexico -- Jewelry. ; Indians of Central America -- Clothing. ; Indians of Central America -- Jewelry. ; Clothing and dress -- Symbolic aspects -- Mexico. ; Clothing and dress -- Symbolic aspects -- Central America. ; Clothing and dress -- Social aspects -- Mexico.</t>
  </si>
  <si>
    <t>https://ebookcentral.proquest.com/lib/viva-active/detail.action?docID=3039831</t>
  </si>
  <si>
    <t>The Great Maya Droughts in Cultural Context : Case Studies in Resilience and Vulnerability</t>
  </si>
  <si>
    <t>Iannone, Gyles</t>
  </si>
  <si>
    <t>Mayas -- History. ; Mayas -- Social conditions. ; Mayas -- Antiquities. ; Droughts -- Central America -- History. ; Indigenous people -- Ecology -- Central America. ; Human beings -- Effect of climate on -- Central America. ; Crops -- Effect of drougt on -- Central America.</t>
  </si>
  <si>
    <t>https://ebookcentral.proquest.com/lib/viva-active/detail.action?docID=3039832</t>
  </si>
  <si>
    <t>Obsidian Reflections : Symbolic Dimensions of Obsidian in Mesoamerica</t>
  </si>
  <si>
    <t>Carballo, David M.;Levine, Marc</t>
  </si>
  <si>
    <t>Obsidian implements -- Mexico. ; Obsidian implements -- Central America. ; Indians of Mexico -- Antiquities. ; Indians of Central America -- Antiquities. ; Indians of Mexico -- Implements. ; Indians of Central America -- Implements.</t>
  </si>
  <si>
    <t>https://ebookcentral.proquest.com/lib/viva-active/detail.action?docID=3039841</t>
  </si>
  <si>
    <t>Kukulcan's Realm : Urban Life at Ancient Mayapán</t>
  </si>
  <si>
    <t>Masson, Marilyn;Peraza Lope, Carlos;Lope, Carlos Peraza</t>
  </si>
  <si>
    <t>Mayas -- Urban residence -- Mexico -- Mayapan. ; Maya architecture -- Mexico -- Mayapan. ; Mayas -- Mexico -- Mayapan -- Antiquities. ; Excavations (Archaeology) -- Mexico -- Mayapan. ; Mayapan Site (Mexico) ; Mayapan (Mexico) -- Antiquities.</t>
  </si>
  <si>
    <t>https://ebookcentral.proquest.com/lib/viva-active/detail.action?docID=3039848</t>
  </si>
  <si>
    <t>Bridging the Gaps : Integrating Archaeology and History in Oaxaca, Mexico; A Volume in Memory of Bruce E. Byland</t>
  </si>
  <si>
    <t>Zborover, Danny;Kroefges, Peter</t>
  </si>
  <si>
    <t>Byland, Bruce E., -- 1950-2008. ; Archaeology and history -- Mexico -- Oaxaca (State) ; Oaxaca (Mexico : State) -- Antiquities.</t>
  </si>
  <si>
    <t>https://ebookcentral.proquest.com/lib/viva-active/detail.action?docID=3039864</t>
  </si>
  <si>
    <t>After Monte Albán : Transformation and Negotiation in Oaxaca, Mexico</t>
  </si>
  <si>
    <t>Mesoamerican worlds</t>
  </si>
  <si>
    <t>Blomster, Jeffrey P.</t>
  </si>
  <si>
    <t>Indians of Mexico -- Mexico -- Oaxaca Valley -- Antiquities. ; Indians of Mexico -- Mexico -- Oaxaca Valley -- Historiography. ; Ethnohistory -- Mexico -- Oaxaca Valley. ; Ethnoarchaeology -- Mexico -- Oaxaca Valley. ; Monte AlbÃ¡n Site (Mexico) ; Oaxaca Valley (Mexico) -- Antiquities.</t>
  </si>
  <si>
    <t>https://ebookcentral.proquest.com/lib/viva-active/detail.action?docID=3039878</t>
  </si>
  <si>
    <t>Commoner Ritual and Ideology in Ancient Mesoamerica : Transformation and Negotiation in Oaxaca, Mexico</t>
  </si>
  <si>
    <t>Gonlin, Nancy;Lohse, Jon C.</t>
  </si>
  <si>
    <t>Indians of Mexico -- Rites and ceremonies. ; Indians of Mexico -- Religion. ; Indians of Mexico -- Social life and customs. ; Indians of Central America -- Rites and ceremonies. ; Indians of Central America -- Religion. ; Indians of Central America -- Social life and customs.</t>
  </si>
  <si>
    <t>https://ebookcentral.proquest.com/lib/viva-active/detail.action?docID=3039900</t>
  </si>
  <si>
    <t>Troubling Tricksters : Revisioning Critical Conversations</t>
  </si>
  <si>
    <t>Indigenous Studies</t>
  </si>
  <si>
    <t>Reder, Deanna;Morra, Linda M.</t>
  </si>
  <si>
    <t>Literature; Social Science</t>
  </si>
  <si>
    <t>Tricksters -- North America. ; Tricksters in literature. ; Folk literature, Indian -- North America -- History and criticism. ; Indians of North America -- Folklore. ; Indians of North America -- Social life and customs.</t>
  </si>
  <si>
    <t>https://ebookcentral.proquest.com/lib/viva-active/detail.action?docID=3050366</t>
  </si>
  <si>
    <t>Experiencing Rhythm : Contemporary Malagasy Music and Identity</t>
  </si>
  <si>
    <t>Fuhr, Jenny</t>
  </si>
  <si>
    <t>Music--Instruction and study.</t>
  </si>
  <si>
    <t>https://ebookcentral.proquest.com/lib/viva-active/detail.action?docID=3051662</t>
  </si>
  <si>
    <t>A Strange Likeness : Becoming Red and White in Eighteenth-Century North America</t>
  </si>
  <si>
    <t>Shoemaker, Nancy</t>
  </si>
  <si>
    <t>Indians of North America -- First contact with Europeans. ; Indians of North America -- History -- 18th century -- Sources. ; Indians of North America -- Ethnic identity. ; Culture conflict -- North America -- History -- 18th century. ; Whites -- Race identity -- Europe. ; Europeans -- United States -- Attitudes. ; Frontier and pioneer life -- United States -- History -- 18th century.</t>
  </si>
  <si>
    <t>https://ebookcentral.proquest.com/lib/viva-active/detail.action?docID=3051865</t>
  </si>
  <si>
    <t>Subversive Spiritualities : How Rituals Enact the World</t>
  </si>
  <si>
    <t>Oxford Ritual Studies</t>
  </si>
  <si>
    <t>Apffel-Marglin, Frederique</t>
  </si>
  <si>
    <t>Rites and ceremonies -- Peru. ; Rites and ceremonies -- India. ; Shamanism -- Peru. ; Shamanism -- India. ; Peru -- Religious life and customs. ; India -- Religious life and customs.</t>
  </si>
  <si>
    <t>https://ebookcentral.proquest.com/lib/viva-active/detail.action?docID=3054398</t>
  </si>
  <si>
    <t>Musical Intimacies and Indigenous Imaginaries : Aboriginal Music and Dance in Public Performance</t>
  </si>
  <si>
    <t>Dueck, Byron</t>
  </si>
  <si>
    <t>Folk music -- Manitoba -- History and criticism. ; Indians of North America -- Manitoba -- Music -- History and criticism. ; Indians of North America -- Manitoba -- Social life and customs. ; Music -- Social aspects -- Manitoba.</t>
  </si>
  <si>
    <t>https://ebookcentral.proquest.com/lib/viva-active/detail.action?docID=3055678</t>
  </si>
  <si>
    <t>Community Futures, Legal Architecture : Foundations for Indigenous Peoples in the Global Mining Boom</t>
  </si>
  <si>
    <t>Langton, Marcia;Longbottom, Judy</t>
  </si>
  <si>
    <t>Mining law. ; Indigenous peoples -- Legal status, laws, etc.</t>
  </si>
  <si>
    <t>https://ebookcentral.proquest.com/lib/viva-active/detail.action?docID=3060967</t>
  </si>
  <si>
    <t>Folk Treasures of Mexico : The Nelson A. Rockefeller Collection</t>
  </si>
  <si>
    <t>Arte Público Press</t>
  </si>
  <si>
    <t xml:space="preserve">Oettinger, Marion;Rockefeller, Nelson A.;Roberts, Ann R.;Roberts, Ann Rockefeller </t>
  </si>
  <si>
    <t>Rockefeller, Nelson A. -- (Nelson Aldrich), -- 1908-1979 -- Art collections. ; Folk art -- Private collections -- New York (State) -- New York. ; Folk art -- Mexico.</t>
  </si>
  <si>
    <t>https://ebookcentral.proquest.com/lib/viva-active/detail.action?docID=3115149</t>
  </si>
  <si>
    <t>Caves and Culture : 10,000 Years of Ohio History</t>
  </si>
  <si>
    <t>The Kent State University Press</t>
  </si>
  <si>
    <t>Spurlock, Linda B;Prufer, Olaf H.;Pigott, Thomas R.</t>
  </si>
  <si>
    <t>Indians of North America -- Ohio -- Antiquities. ; Caves -- Ohio -- History. ; Excavations (Archaeology) -- Ohio. ; Ohio -- Antiquities.</t>
  </si>
  <si>
    <t>https://ebookcentral.proquest.com/lib/viva-active/detail.action?docID=3120457</t>
  </si>
  <si>
    <t>Slings and Slingstones : The Forgotten Weapons of Oceania and the Americas</t>
  </si>
  <si>
    <t>York, Robert;York, Gigi</t>
  </si>
  <si>
    <t>Slings -- History. ; Slingstones -- History. ; Oceania -- History. ; America -- History.</t>
  </si>
  <si>
    <t>https://ebookcentral.proquest.com/lib/viva-active/detail.action?docID=3120562</t>
  </si>
  <si>
    <t>Mapping the Americas : The Transnational Politics of Contemporary Native Culture</t>
  </si>
  <si>
    <t>Cornell University Press</t>
  </si>
  <si>
    <t>Huhndorf, Shari M.</t>
  </si>
  <si>
    <t>Indians of North America -- Ethnic identity. ; Indians of North America -- Politics and government. ; Indian arts -- North America. ; Eskimos -- Alaska -- Ethnic identity. ; Eskimos -- Alaska -- Politics and government. ; Inuit -- Canada -- Ethnic identity. ; Inuit -- Canada -- Politics and government.</t>
  </si>
  <si>
    <t>https://ebookcentral.proquest.com/lib/viva-active/detail.action?docID=3137994</t>
  </si>
  <si>
    <t>Wild Yankees : The Struggle for Independence along Pennsylvania's Revolutionary Frontier</t>
  </si>
  <si>
    <t>Moyer, Paul B.</t>
  </si>
  <si>
    <t>Susquehanna Claim, 1753-1808. ; Frontier and pioneer life -- Pennsylvania -- Wyoming Valley. ; Indians of North America -- Pennsylvania -- Wyoming Valley -- History. ; Wyoming Valley (Pa.) -- History.</t>
  </si>
  <si>
    <t>https://ebookcentral.proquest.com/lib/viva-active/detail.action?docID=3138191</t>
  </si>
  <si>
    <t>The Memory of All Ancient Customs : Native American Diplomacy in the Colonial Hudson Valley</t>
  </si>
  <si>
    <t>Midtrød, Tom Arne</t>
  </si>
  <si>
    <t>Indians of North America -- History -- Colonial period, ca. 1600-1775. ; Indians of North America -- Hudson River Valley (N.Y. and N.J.) -- Government relations. ; Indians of North America -- Hudson River Valley (N.Y. and N.J.) -- Politics and government -- 17th century. ; Indians of North America -- Hudson River Valley (N.Y. and N.J.) -- Politics and government -- 18th century. ; Hudson River Valley (N.Y. and N.J.) -- Ethnic relations. ; New York (State) -- History -- Colonial period, ca. 1600-1775.</t>
  </si>
  <si>
    <t>https://ebookcentral.proquest.com/lib/viva-active/detail.action?docID=3138320</t>
  </si>
  <si>
    <t>"That the People Might Live" : Loss and Renewal in Native American Elegy</t>
  </si>
  <si>
    <t>Krupat, Arnold</t>
  </si>
  <si>
    <t>Indian literature -- United States -- History and criticism. ; Folk literature, Indian -- History and criticism. ; American literature -- Indian authors -- History and criticism. ; Elegiac poetry, American -- Indian authors -- History and criticism. ; Indians of North America -- Funeral customs and rites. ; Loss (Psychology) in literature. ; Death in literature.</t>
  </si>
  <si>
    <t>https://ebookcentral.proquest.com/lib/viva-active/detail.action?docID=3138377</t>
  </si>
  <si>
    <t>Nobility Lost : French and Canadian Martial Cultures, Indians, and the End of New France</t>
  </si>
  <si>
    <t>Crouch, Christian Ayne</t>
  </si>
  <si>
    <t>Seven Years'' War, 1756-1763 -- Campaigns -- New France. ; Anglo-French War, 1755-1763. ; Indians of North America -- Wars -- 1750-1815. ; Canada -- History -- 1755-1763. ; France -- History -- Louis XV, 1715-1774.</t>
  </si>
  <si>
    <t>https://ebookcentral.proquest.com/lib/viva-active/detail.action?docID=3138577</t>
  </si>
  <si>
    <t>Black Robes and Buckskin : A Selection from the Jesuit Relations</t>
  </si>
  <si>
    <t>Fordham University Press</t>
  </si>
  <si>
    <t>Randall, Catharine</t>
  </si>
  <si>
    <t>Indians of North America - Missions - New France - History</t>
  </si>
  <si>
    <t>https://ebookcentral.proquest.com/lib/viva-active/detail.action?docID=3239556</t>
  </si>
  <si>
    <t>A Common Hunger : Land Rights in Canada and South Africa</t>
  </si>
  <si>
    <t>University of Calgary Press</t>
  </si>
  <si>
    <t>Africa: Missing Voices Ser.</t>
  </si>
  <si>
    <t>Fairweather, Joan G.</t>
  </si>
  <si>
    <t>Indigenous peoples -- Land tenure -- South Africa. ; Indigenous Peoples -- South Africa -- Claims. ; Indigenous peoples -- South Africa -- Government relations. ; Electronic books.</t>
  </si>
  <si>
    <t>https://ebookcentral.proquest.com/lib/viva-active/detail.action?docID=3250114</t>
  </si>
  <si>
    <t>On Zion's Mount : Mormons, Indians, and the American Landscape</t>
  </si>
  <si>
    <t>Harvard University Press</t>
  </si>
  <si>
    <t>Farmer, Jared</t>
  </si>
  <si>
    <t>Ute Indians -- History. ; Mormons -- History. ; Frontier and pioneer life -- Utah. ; Landscape assessment -- United States. ; Indians in popular culture -- United States. ; Timpanogos, Mount (Utah) -- History. ; Utah Lake (Utah) -- History.</t>
  </si>
  <si>
    <t>https://ebookcentral.proquest.com/lib/viva-active/detail.action?docID=3300010</t>
  </si>
  <si>
    <t>Possessing the Pacific : Land, Settlers, and Indigenous People from Australia to Alaska</t>
  </si>
  <si>
    <t>Banner, Stuart</t>
  </si>
  <si>
    <t>Land settlement -- Oceania -- History. ; Land settlement -- Northwest, Pacific -- History. ; Indigenous peoples -- Land tenure -- Oceania -- History. ; Indigenous peoples -- Land tenure -- Northwest, Pacific -- History. ; Indigenous peoples -- Legal status, laws, etc. -- Oceania -- History. ; Indigenous peoples -- Legal status, laws, etc. -- Northwest, Pacific -- History. ; Oceania -- Colonization -- History.</t>
  </si>
  <si>
    <t>https://ebookcentral.proquest.com/lib/viva-active/detail.action?docID=3300091</t>
  </si>
  <si>
    <t>Law of Primitive Man : A Study in Comparative Legal Dynamics</t>
  </si>
  <si>
    <t>Hoebel, E. Adamson</t>
  </si>
  <si>
    <t>Law, Primitive. ; Primitive societies.</t>
  </si>
  <si>
    <t>https://ebookcentral.proquest.com/lib/viva-active/detail.action?docID=3300214</t>
  </si>
  <si>
    <t>Rationalizing Epidemics : Meanings and Uses of American Indian Mortality since 1600</t>
  </si>
  <si>
    <t>JONES, David S.;JONES, David S.</t>
  </si>
  <si>
    <t>Indians of North America - Diseases - Epidemiology - History.</t>
  </si>
  <si>
    <t>https://ebookcentral.proquest.com/lib/viva-active/detail.action?docID=3300634</t>
  </si>
  <si>
    <t>Serving Their Country : American Indian Politics and Patriotism in the Twentieth Century</t>
  </si>
  <si>
    <t>Rosier, Paul C.</t>
  </si>
  <si>
    <t>Citizenship - United States - History - 20th century</t>
  </si>
  <si>
    <t>https://ebookcentral.proquest.com/lib/viva-active/detail.action?docID=3300825</t>
  </si>
  <si>
    <t>Uncommon Defense : Indian Allies in the Black Hawk War</t>
  </si>
  <si>
    <t>Hall, John W.;Hall, John W., Jr.</t>
  </si>
  <si>
    <t>Black Hawk, -- Sauk chief, -- 1767-1838. ; Black Hawk War, 1832. ; Indians of North America -- Government relations -- 1789-1869.</t>
  </si>
  <si>
    <t>https://ebookcentral.proquest.com/lib/viva-active/detail.action?docID=3300838</t>
  </si>
  <si>
    <t>Indian Work : Language and Livelihood in Native American History</t>
  </si>
  <si>
    <t>Usner, Daniel H., Jr.;Usner, Daniel H.</t>
  </si>
  <si>
    <t>Economics; History</t>
  </si>
  <si>
    <t>Indians of North America -- Economic conditions. ; Indians of North America -- Employment. ; Indians of North America -- Public opinion. ; Whites -- Relations with Indians. ; Public opinion -- United States. ; United States -- Race relations. ; United States -- Social policy.</t>
  </si>
  <si>
    <t>https://ebookcentral.proquest.com/lib/viva-active/detail.action?docID=3300860</t>
  </si>
  <si>
    <t>A Misplaced Massacre : Struggling over the Memory of Sand Creek</t>
  </si>
  <si>
    <t>Kelman, Ari</t>
  </si>
  <si>
    <t>Chivington, John M. -- (John Milton), -- 1821-1894. ; United States. -- Army. -- Colorado Cavalry Regiment, 3rd (1864) -- History. ; United States. -- Army. -- Colorado Cavalry Regiment, 1st (1862-1865) -- History. ; Sand Creek Massacre, Colo., 1864. ; Cheyenne Indians -- Wars, 1864.</t>
  </si>
  <si>
    <t>https://ebookcentral.proquest.com/lib/viva-active/detail.action?docID=3301207</t>
  </si>
  <si>
    <t>Native Apostles : Black and Indian Missionaries in the British Atlantic World</t>
  </si>
  <si>
    <t>Andrews, Edward E.</t>
  </si>
  <si>
    <t>Missions -- History. ; Indigenous peoples. ; Missionaries. ; African American missionaries. ; British -- Atlantic Ocean Region -- History. ; United States -- History -- Colonial period, ca. 1600-1775. ; Great Britain -- Colonies -- America -- History.</t>
  </si>
  <si>
    <t>https://ebookcentral.proquest.com/lib/viva-active/detail.action?docID=3301246</t>
  </si>
  <si>
    <t>The Four Deaths of Acorn Whistler : Telling Stories in Colonial America</t>
  </si>
  <si>
    <t>Piker, Joshua</t>
  </si>
  <si>
    <t>Acorn Whistler, -- d. 1752 -- Death. ; Acorn Whistler, -- d. 1752. ; Cherokee Indians -- Violence against -- South Carolina -- Charleston. ; Creek Indians -- Kings and rulers -- Biography. ; Great Britain -- Colonies -- America -- Administration. ; Great Britain -- Colonies -- America -- History -- 18th century. ; Southern States -- History -- Colonial period, ca. 1600-1775.</t>
  </si>
  <si>
    <t>https://ebookcentral.proquest.com/lib/viva-active/detail.action?docID=3301309</t>
  </si>
  <si>
    <t>Returns : Becoming Indigenous in the Twenty-First Century</t>
  </si>
  <si>
    <t>Clifford, James</t>
  </si>
  <si>
    <t>Indigenous peoples. ; Indigenous peoples -- Ethnic identity. ; Indigenous peoples -- Social life and customs. ; Cultural fusion.</t>
  </si>
  <si>
    <t>https://ebookcentral.proquest.com/lib/viva-active/detail.action?docID=3301352</t>
  </si>
  <si>
    <t>The Brave New World : A History of Early America</t>
  </si>
  <si>
    <t>Johns Hopkins University Press</t>
  </si>
  <si>
    <t>Hoffer, Peter Charles</t>
  </si>
  <si>
    <t>Indians of North America -- History. ; United States -- History -- Colonial period, ca. 1600-1775. ; America -- Discovery and exploration.</t>
  </si>
  <si>
    <t>https://ebookcentral.proquest.com/lib/viva-active/detail.action?docID=3318340</t>
  </si>
  <si>
    <t>Stone Artefact Production and Exchange among the Lesser Antilles</t>
  </si>
  <si>
    <t>Leiden University Press</t>
  </si>
  <si>
    <t>Knippenberg, Sebastiaan</t>
  </si>
  <si>
    <t>Archaeology.</t>
  </si>
  <si>
    <t>https://ebookcentral.proquest.com/lib/viva-active/detail.action?docID=3327114</t>
  </si>
  <si>
    <t>Struggles for Local Democracy in the Andes</t>
  </si>
  <si>
    <t>Lynne Rienner Publishers</t>
  </si>
  <si>
    <t>Cameron, John</t>
  </si>
  <si>
    <t>Local government--Case studies</t>
  </si>
  <si>
    <t>https://ebookcentral.proquest.com/lib/viva-active/detail.action?docID=3329029</t>
  </si>
  <si>
    <t>Living Rhythms : Lessons in Aboriginal Resilience and Vision</t>
  </si>
  <si>
    <t>McGill-Queen's University Press</t>
  </si>
  <si>
    <t>McGill-Queen’s Native and Northen Series</t>
  </si>
  <si>
    <t>Wuttunee, Wanda</t>
  </si>
  <si>
    <t>Indians of North America -- Canada -- Economic conditions. ; Community development -- Canada. ; Indian business enterprises -- Canada.</t>
  </si>
  <si>
    <t>https://ebookcentral.proquest.com/lib/viva-active/detail.action?docID=3330514</t>
  </si>
  <si>
    <t>Strange Things Done : Murder in Yukon History</t>
  </si>
  <si>
    <t>MQUP</t>
  </si>
  <si>
    <t>McGill-Queen's Native and Northern Series</t>
  </si>
  <si>
    <t>Coates, Ken  S.;Morrison, William  R.</t>
  </si>
  <si>
    <t>Murder -- Yukon -- History. ; Trials (Murder) -- Yukon -- History. ; Meurtre -- Yukon -- Histoire. ; Procès (Meurtre) -- Yukon -- Histoire. ; Yukon Territory -- History. ; Yukon -- Histoire -- 1895-</t>
  </si>
  <si>
    <t>https://ebookcentral.proquest.com/lib/viva-active/detail.action?docID=3330662</t>
  </si>
  <si>
    <t>Healing through Art : Ritualized Space and Cree Identity</t>
  </si>
  <si>
    <t>Ferrara, Nadia</t>
  </si>
  <si>
    <t>Medicine; Psychology</t>
  </si>
  <si>
    <t>Art therapy -- James Bay Region. ; Cree Indians -- Ethnic identity. ; Cree Indians -- Mental health -- James Bay Region. ; Cree Indians -- Psychology.</t>
  </si>
  <si>
    <t>https://ebookcentral.proquest.com/lib/viva-active/detail.action?docID=3330671</t>
  </si>
  <si>
    <t>First Nations? : Second Thoughts</t>
  </si>
  <si>
    <t>Flanagan, T.</t>
  </si>
  <si>
    <t>Indians of North America -- Canada -- Government relations. ; Indians of North America -- Legal status, laws, etc. -- Canada. ; Indians of North America -- Canada -- Politics and government.</t>
  </si>
  <si>
    <t>https://ebookcentral.proquest.com/lib/viva-active/detail.action?docID=3331211</t>
  </si>
  <si>
    <t>Ghost Brothers : Adoption of a French Tribe by Bereaved Native America : A Transdisiplinary Longitudinal Mutilevel Integrated Analysis</t>
  </si>
  <si>
    <t>Blum, Rony</t>
  </si>
  <si>
    <t>Acculturation -- Canada -- History -- 17th century. ; French-Canadians -- Social conditions -- 17th century. ; Indians of North America -- First contact with Europeans. ; Indians of North America -- Foreign influences. ; Spiritualism -- Canada -- History. ; Canada -- History -- To 1763 (New France) ; Canada -- Social conditions -- To 1763.</t>
  </si>
  <si>
    <t>https://ebookcentral.proquest.com/lib/viva-active/detail.action?docID=3331603</t>
  </si>
  <si>
    <t>Tecumseh's Bones</t>
  </si>
  <si>
    <t>McGill-Queen's Native and Northern Ser.</t>
  </si>
  <si>
    <t>St-Denis, Guy</t>
  </si>
  <si>
    <t>Tecumseh, -- Shawnee Chief, -- 1768-1813 -- Death and burial. ; Tecumseh, -- 1768-1813 -- Mort et sépulture. ; Thames, Battle of the, Ont., 1813. ; Moraviantown, Bataille de, 1813.</t>
  </si>
  <si>
    <t>https://ebookcentral.proquest.com/lib/viva-active/detail.action?docID=3331693</t>
  </si>
  <si>
    <t>Constructing Colonial Discourse : Captain Cook at Nootka Sound</t>
  </si>
  <si>
    <t>Currie N. E.</t>
  </si>
  <si>
    <t>Cook, James, -- 1728-1779. ; Cook, James, -- 1728-1779. ; Travelers'' writings, English -- British Columbia -- Nootka Sound Region -- History and criticism. ; Nootka Indians -- British Columbia -- Nootka Sound Region -- Social life and customs. ; Discourse analysis. ; Ethnology -- Philosophy. ; Ethnocentrism -- Europe.</t>
  </si>
  <si>
    <t>https://ebookcentral.proquest.com/lib/viva-active/detail.action?docID=3331726</t>
  </si>
  <si>
    <t>Listening to Old Woman Speak : Natives and alterNatives in Canadian Literature</t>
  </si>
  <si>
    <t>Groening, Laura Smyth</t>
  </si>
  <si>
    <t>Indians in literature. ; Canadian literature -- 19th century -- History and criticism. ; Canadian literature -- 20th century -- History and criticism. ; Indians of North America -- Ethnic identity. ; Race in literature.</t>
  </si>
  <si>
    <t>https://ebookcentral.proquest.com/lib/viva-active/detail.action?docID=3331753</t>
  </si>
  <si>
    <t>Coyote and Raven Go Canoeing : Coming Home to the Village</t>
  </si>
  <si>
    <t>Cole, Peter</t>
  </si>
  <si>
    <t>Indians of North America -- Education -- Canada. ; Indians of North America -- Canada -- Intellectual life. ; Indian mythology -- Canada. ; Indigenous peoples -- Education. ; Indigenous peoples -- Social conditions.</t>
  </si>
  <si>
    <t>https://ebookcentral.proquest.com/lib/viva-active/detail.action?docID=3331991</t>
  </si>
  <si>
    <t>Hollow Tree : Fighting Addiction with Traditional Native Healing</t>
  </si>
  <si>
    <t xml:space="preserve">Nabigon, Herb;Sioui, Georges E. </t>
  </si>
  <si>
    <t>Health; History; Social Science</t>
  </si>
  <si>
    <t>Nabigon, Herb -- Alcohol use. ; Indians of North America -- Canada -- Biography. ; Indians of North America -- Alcohol use -- Canada. ; Alcoholism -- Treatment -- Canada. ; Indians of North America -- Canada -- Rites and ceremonies. ; Spiritual healing.</t>
  </si>
  <si>
    <t>https://ebookcentral.proquest.com/lib/viva-active/detail.action?docID=3332002</t>
  </si>
  <si>
    <t>Spirit Lives in the Mind : Omushkego Stories, Lives, and Dreams</t>
  </si>
  <si>
    <t>Rupert's Land Record Society Series</t>
  </si>
  <si>
    <t xml:space="preserve">Bird, Louis;Gray, Susan Elaine ;Gray, Susan Elaine </t>
  </si>
  <si>
    <t>Cree philosophy -- James Bay Region. ; Cree Indians -- James Bay Region -- Folklore. ; Cree Indians -- James Bay Region -- Religion.</t>
  </si>
  <si>
    <t>https://ebookcentral.proquest.com/lib/viva-active/detail.action?docID=3332016</t>
  </si>
  <si>
    <t>Memories, Myths, and Dreams of an Ojibwe Leader</t>
  </si>
  <si>
    <t>Berens, William;Hallowell, A. Irving;Brown, Jennifer</t>
  </si>
  <si>
    <t>Berens, William, -- 1866-1947. ; Ojibwa Indians -- Manitoba -- Berens River Valley -- Biography. ; Ojibwa Indians -- Folklore. ; Ojibwa mythology.</t>
  </si>
  <si>
    <t>https://ebookcentral.proquest.com/lib/viva-active/detail.action?docID=3332051</t>
  </si>
  <si>
    <t>Native Peoples and Water Rights : Irrigation, Dams, and the Law in Western Canada</t>
  </si>
  <si>
    <t>Matsui, Kenichi</t>
  </si>
  <si>
    <t>Water rights -- British Columbia -- History. ; Water rights -- Alberta -- History. ; Indians of North America -- Legal status, laws, etc. -- Canada, Western -- History. ; Irrigation laws -- Canada, Western -- History. ; Dams -- Law and legislation -- Canada, Western -- History. ; Agriculture and state -- Canada, Western -- History. ; Indians of North America -- British Columbia -- History.</t>
  </si>
  <si>
    <t>https://ebookcentral.proquest.com/lib/viva-active/detail.action?docID=3332052</t>
  </si>
  <si>
    <t>No Place for Fairness : Indigenous Land Rights and Policy in the Bear Island Case and Beyond</t>
  </si>
  <si>
    <t>McNab, David T.</t>
  </si>
  <si>
    <t>Indigenous peoples -- Ontario -- Claims. ; Indigenous peoples -- Land tenure -- Ontario. ; Indigenous peoples -- Ontario -- Government relations. ; Indian land transfers -- Ontario.</t>
  </si>
  <si>
    <t>https://ebookcentral.proquest.com/lib/viva-active/detail.action?docID=3332053</t>
  </si>
  <si>
    <t>Identity Captured by Law : Membership in Canada's Indigenous Peoples and Linguistic Minorities</t>
  </si>
  <si>
    <t>Grammond, Sébastien</t>
  </si>
  <si>
    <t>Linguistic minorities -- Legal status, laws, etc. -- Canada. ; Human rights -- Canada. ; Indigenous peoples -- Legal status, laws, etc. -- Canada. ; Indians of North America -- Legal status, laws, etc. -- Canada.</t>
  </si>
  <si>
    <t>https://ebookcentral.proquest.com/lib/viva-active/detail.action?docID=3332059</t>
  </si>
  <si>
    <t>Power without Law : The Supreme Court of Canada, the Marshall Decisions and the Failure of Judicial Activism</t>
  </si>
  <si>
    <t>Cameron, Alex M.</t>
  </si>
  <si>
    <t>Marshall, Donald -- Trials, litigation, etc. ; Canada. -- Supreme Court. ; Micmac Indians -- Legal status, laws, etc. ; Malecite Indians -- Legal status, laws, etc. ; Political questions and judicial power -- Canada.</t>
  </si>
  <si>
    <t>https://ebookcentral.proquest.com/lib/viva-active/detail.action?docID=3332060</t>
  </si>
  <si>
    <t>Rediscovered Self : Indigenous Identity and Cultural Justice</t>
  </si>
  <si>
    <t>Indigenous peoples -- Civil rights. ; Indigenous peoples -- Ethnic identity. ; Indigenous peoples -- Legal status, laws, etc. ; Indigenous peoples -- Politics and government.</t>
  </si>
  <si>
    <t>https://ebookcentral.proquest.com/lib/viva-active/detail.action?docID=3332071</t>
  </si>
  <si>
    <t>Inuit Shamanism and Christianity : Transitions and Transformations in the Twentieth Century</t>
  </si>
  <si>
    <t xml:space="preserve">Laugrand, Frédéric B.;Oosten, Jarich G. </t>
  </si>
  <si>
    <t>Christianity -- Canada, Northern -- History -- 20th century. ; Inuit mythology. ; Inuit -- Missions. ; Inuit -- Religion. ; Inuit -- Social life and customs. ; Shamanism -- Canada, Northern -- History -- 20th century.</t>
  </si>
  <si>
    <t>https://ebookcentral.proquest.com/lib/viva-active/detail.action?docID=3332085</t>
  </si>
  <si>
    <t>Collections and Objections : Aboriginal Material Culture in Southern Ontario</t>
  </si>
  <si>
    <t>Hamilton, Michelle</t>
  </si>
  <si>
    <t>Iroquoian Indians -- Antiquities -- Collection and preservation -- Ontario. ; Ojibwa Indians -- Antiquities -- Collection and preservation -- Ontario. ; Iroquoian Indians -- Material culture -- Ontario -- Study and teaching. ; Ojibwa Indians -- Material culture -- Ontario -- Study and teaching.</t>
  </si>
  <si>
    <t>https://ebookcentral.proquest.com/lib/viva-active/detail.action?docID=3332271</t>
  </si>
  <si>
    <t>McGill-Queen's Native and Northern Series : Language of the Inuit: Syntax, Semantics, and Society in the Arctic</t>
  </si>
  <si>
    <t>Dorais, Louis-Jacques</t>
  </si>
  <si>
    <t>Inuktitut dialect. ; Inuktitut dialect -- Social aspects. ; Inuit language.</t>
  </si>
  <si>
    <t>https://ebookcentral.proquest.com/lib/viva-active/detail.action?docID=3332284</t>
  </si>
  <si>
    <t>Highway of the Atom</t>
  </si>
  <si>
    <t>van Wyck, Peter</t>
  </si>
  <si>
    <t>Science; Science: Geology</t>
  </si>
  <si>
    <t>Uranium mines and mining -- Northwest Territories -- Port Radium -- History. ; Atomic bomb -- History. ; Chipewyan Indians -- Northwest Territories -- Great Bear Lake -- Social conditions. ; Nuclear industry -- Canada -- History.</t>
  </si>
  <si>
    <t>https://ebookcentral.proquest.com/lib/viva-active/detail.action?docID=3332286</t>
  </si>
  <si>
    <t>Treaty No. 9 : Making the Agreement to Share the Land in Far Northern Ontario in 1905</t>
  </si>
  <si>
    <t>Long, John S.</t>
  </si>
  <si>
    <t>Canada. -- Treaties, etc. -- (1905 July 12) ; Cree Indians -- Ontario -- Treaties -- History. ; Ojibwa Indians -- Ontario -- Treaties -- History. ; Cree Indians -- Ontario -- Government relations. ; Ojibwa Indians -- Ontario -- Government relations.</t>
  </si>
  <si>
    <t>https://ebookcentral.proquest.com/lib/viva-active/detail.action?docID=3332351</t>
  </si>
  <si>
    <t>Beyond the Indian Act : Restoring Aboriginal Property Rights</t>
  </si>
  <si>
    <t>Flanagan, Tom;Alcantara, Christopher;Le Dressay, André</t>
  </si>
  <si>
    <t>Indian title -- Canada. ; Indians of North America -- Land tenure -- Canada. ; Indians of North America -- Legal status, laws, etc. -- Canada.</t>
  </si>
  <si>
    <t>https://ebookcentral.proquest.com/lib/viva-active/detail.action?docID=3332456</t>
  </si>
  <si>
    <t>Museum Pieces : Toward the Indigenization of Canadian Museums</t>
  </si>
  <si>
    <t>McGill-Queen's/Beaverbrook Canadian Foundation Studies in Art History</t>
  </si>
  <si>
    <t>Phillips, Ruth B.;Anderson, Janice</t>
  </si>
  <si>
    <t>Museums; History</t>
  </si>
  <si>
    <t>Native peoples - Museums - Canada</t>
  </si>
  <si>
    <t>https://ebookcentral.proquest.com/lib/viva-active/detail.action?docID=3332476</t>
  </si>
  <si>
    <t>Fields of Governance : Policy Making in Canadian Municipalities, Urban Aboriginal Policy Making in Canadian Municipalities</t>
  </si>
  <si>
    <t>Fields of Governance: Policy Making in Canadian Municipalities Ser.</t>
  </si>
  <si>
    <t>Peters, Evelyn J.</t>
  </si>
  <si>
    <t>Urban policy -- Canada. ; Sociology, Urban -- Canada.</t>
  </si>
  <si>
    <t>https://ebookcentral.proquest.com/lib/viva-active/detail.action?docID=3332478</t>
  </si>
  <si>
    <t>Earth into Property : Colonization, Decolonization, and Capitalism</t>
  </si>
  <si>
    <t>Hall, Anthony</t>
  </si>
  <si>
    <t>Indians of North America -- Government relations -- History. ; Capitalism -- United States. ; Decolonization. ; United States -- Territorial expansion -- History.</t>
  </si>
  <si>
    <t>https://ebookcentral.proquest.com/lib/viva-active/detail.action?docID=3332528</t>
  </si>
  <si>
    <t>Aboriginal Music in Contemporary : Echoes and Exchanges</t>
  </si>
  <si>
    <t>Hoefnagels, Anna;Diamond, Beverley</t>
  </si>
  <si>
    <t>Indians of North America -- Canada -- Music -- History and criticism. ; Indians of North America -- Music -- Social aspects -- Canada. ; Indians of North America -- Canada -- Interviews.</t>
  </si>
  <si>
    <t>https://ebookcentral.proquest.com/lib/viva-active/detail.action?docID=3332543</t>
  </si>
  <si>
    <t>Samuel de Champlain before 1604 : Des Sauvages and other Documents Related to the Period</t>
  </si>
  <si>
    <t>Heidenreich, Conrad;Ritch, K. Janet</t>
  </si>
  <si>
    <t>Champlain, Samuel de, -- 1574-1635. ; Indians of North America -- Canada. ; Canada -- History -- To 1763 (New France) ; America -- Discovery and exploration -- French.</t>
  </si>
  <si>
    <t>https://ebookcentral.proquest.com/lib/viva-active/detail.action?docID=3332544</t>
  </si>
  <si>
    <t>Mcgill-Queen's Native and Northern Series : In Twilight and in Dawn: a Biography of Diamond Jenness</t>
  </si>
  <si>
    <t>Richling, Barnett</t>
  </si>
  <si>
    <t>Jenness, Diamond, -- 1886-1969. ; National Museum of Canada -- Officials and employees -- Biography. ; Anthropologists -- Canada -- Biography.</t>
  </si>
  <si>
    <t>https://ebookcentral.proquest.com/lib/viva-active/detail.action?docID=3332551</t>
  </si>
  <si>
    <t>Irish and Scottish Encounters with Indigenous Peoples : Canada, the United States, New Zealand, and Australia</t>
  </si>
  <si>
    <t>Morton, Graeme;Wilson, David A.</t>
  </si>
  <si>
    <t>Indigenous peoples -- Colonization. ; Ethnic relations.</t>
  </si>
  <si>
    <t>https://ebookcentral.proquest.com/lib/viva-active/detail.action?docID=3332604</t>
  </si>
  <si>
    <t>Reclaiming Indigenous Planning</t>
  </si>
  <si>
    <t>Walker, Ryan;Jojola, Ted;Natcher, David</t>
  </si>
  <si>
    <t>Indians of North America -- Land tenure -- Canada -- Planning. ; Indigenous peoples -- Land tenure -- Planning.</t>
  </si>
  <si>
    <t>https://ebookcentral.proquest.com/lib/viva-active/detail.action?docID=3332617</t>
  </si>
  <si>
    <t>Setting All the Captives Free : Capture, Adjustment, and Recollection in Allegheny Country</t>
  </si>
  <si>
    <t>McGill-Queen's Native and Northern</t>
  </si>
  <si>
    <t>Steele, Ian K.</t>
  </si>
  <si>
    <t>Indians of North America -- Wars -- 1750-1815 -- Prisoners and prisons. ; United States -- History -- French and Indian War, 1754-1763 -- Prisoners and prisons.</t>
  </si>
  <si>
    <t>https://ebookcentral.proquest.com/lib/viva-active/detail.action?docID=3332645</t>
  </si>
  <si>
    <t>Becoming Inummarik : Men's Lives in an Inuit Community</t>
  </si>
  <si>
    <t>Collings, Peter</t>
  </si>
  <si>
    <t>Inuit -- Northwest Territories -- Ulukhaktok -- Social conditions. ; Inuit -- Northwest Territories -- Ulukhaktok -- Social life and customs. ; Men -- Northwest Territories -- Ulukhaktok -- Social conditions. ; Men -- Northwest Territories -- Ulukhaktok -- Social life and customs. ; Masculinity -- Social aspects -- Northwest Territories -- Ulukhaktok.</t>
  </si>
  <si>
    <t>https://ebookcentral.proquest.com/lib/viva-active/detail.action?docID=3332680</t>
  </si>
  <si>
    <t>Our Ice Is Vanishing / Sikuvut Nunguliqtuq : A History of Inuit, Newcomers, and Climate Change</t>
  </si>
  <si>
    <t>Wright, Shelley</t>
  </si>
  <si>
    <t>Inuit -- Canada -- History. ; Sea ice. ; Climatic changes -- Social aspects -- Canada, Northern.</t>
  </si>
  <si>
    <t>https://ebookcentral.proquest.com/lib/viva-active/detail.action?docID=3332813</t>
  </si>
  <si>
    <t>Trojan-Horse Aid : Seeds of Resistance and Resilience in the Bolivian Highlands and Beyond</t>
  </si>
  <si>
    <t>Walsh, Susan</t>
  </si>
  <si>
    <t>Agriculture; Economics; Business/Management</t>
  </si>
  <si>
    <t>Agricultural assistance -- Bolivia -- Potosí (Department) ; Agriculture -- Bolivia -- Potosí (Department) ; Quechua Indians -- Agriculture -- Bolivia -- Potosí (Department) ; Peasants -- Bolivia -- Potosí (Department)</t>
  </si>
  <si>
    <t>https://ebookcentral.proquest.com/lib/viva-active/detail.action?docID=3332830</t>
  </si>
  <si>
    <t>Anthology of Australian Aboriginal Literature</t>
  </si>
  <si>
    <t>Heiss, Anita;Minter, Peter</t>
  </si>
  <si>
    <t>Australian literature -- Aboriginal Australian authors. ; Aboriginal Australians -- Literary collections.</t>
  </si>
  <si>
    <t>https://ebookcentral.proquest.com/lib/viva-active/detail.action?docID=3332833</t>
  </si>
  <si>
    <t>Dragonfly Dance</t>
  </si>
  <si>
    <t>Michigan State University Press</t>
  </si>
  <si>
    <t>American Indian Studies</t>
  </si>
  <si>
    <t>Lajimodiere, Denise K.;Erdrich, Louise</t>
  </si>
  <si>
    <t>American poetry.</t>
  </si>
  <si>
    <t>https://ebookcentral.proquest.com/lib/viva-active/detail.action?docID=3338172</t>
  </si>
  <si>
    <t>Ogimawkwe Mitigwaki (Queen of the Woods) : Queen of the Woods</t>
  </si>
  <si>
    <t>Pokagon, Simon;Deloria, Philip J.;Low, John N.;Noodin, Margaret;Vigil, Kiara M.</t>
  </si>
  <si>
    <t>Pokagon, Simon, -- 1830-1899. ; Potawatomi Indians -- Biography. ; Potawatomi language.</t>
  </si>
  <si>
    <t>https://ebookcentral.proquest.com/lib/viva-active/detail.action?docID=3338197</t>
  </si>
  <si>
    <t>Woman in the Wilderness : Letters of Harriet Wood Wheeler, Missonary Wife, 1832-1892</t>
  </si>
  <si>
    <t>Bunge, Nancy;Bunge, Nancy L.</t>
  </si>
  <si>
    <t>Wheeler, Harriet Wood, -- 1816-1894. ; Wheeler, Harriet Wood, -- 1816-1894 -- Correspondence. ; Wheeler, Harriet Wood, -- 1816-1894 -- Family. ; Women pioneers -- Wisconsin -- Biography. ; Missionaries'' spouses -- Wisconsin -- Biography. ; Ojibwa Indians -- Missions -- Wisconsin -- History -- 19th century. ; Frontier and pioneer life -- Wisconsin.</t>
  </si>
  <si>
    <t>https://ebookcentral.proquest.com/lib/viva-active/detail.action?docID=3338201</t>
  </si>
  <si>
    <t>Visualities : Perspectives on Contemporary American Indian Film and Art</t>
  </si>
  <si>
    <t>Cummings, Denise K.</t>
  </si>
  <si>
    <t>Indian arts -- United States. ; Arts and society -- United States. ; Indians of North America -- Intellectual life. ; Indians of North America -- Ethnic identity. ; Visual communication -- United States. ; Indigenous films -- United States. ; Indians in motion pictures.</t>
  </si>
  <si>
    <t>https://ebookcentral.proquest.com/lib/viva-active/detail.action?docID=3338221</t>
  </si>
  <si>
    <t>The Eagle Returns : The Legal History of the Grand Traverse Band of Ottawa and Chippewa Indians</t>
  </si>
  <si>
    <t>Fletcher, Matthew L. M.</t>
  </si>
  <si>
    <t>Ottawa Indians -- Michigan -- Grand Traverse Bay Region -- History. ; Ottawa Indians -- Legal status, laws, etc. -- Michigan -- Grand Traverse Bay Region. ; Ottawa Indians -- Michigan -- Grand Traverse Bay Region -- Government relations. ; Ojibwa Indians -- Michigan -- Grand Traverse Bay Region -- History. ; Ojibwa Indians -- Legal status, laws, etc. -- Michigan -- Grand Traverse Bay Region. ; Ojibwa Indians -- Michigan -- Grand Traverse Bay Region -- Government relations. ; Grand Traverse Band of Ottawa and Chippewa Indians, Michigan -- History.</t>
  </si>
  <si>
    <t>https://ebookcentral.proquest.com/lib/viva-active/detail.action?docID=3338224</t>
  </si>
  <si>
    <t>The Daring Trader : Jacob Smith in the Michigan Territory, 1802-1825</t>
  </si>
  <si>
    <t>Crawford, Kim</t>
  </si>
  <si>
    <t>Smith, Jacob, -- 1773-1825. ; Pioneers -- Michigan -- Biography. ; Fur traders -- Michigan -- Biography. ; Indian agents -- Michigan -- Biography. ; Frontier and pioneer life -- Michigan. ; Indians of North America -- Michigan -- History -- 19th century. ; Flint Region (Mich.) -- History -- 19th century.</t>
  </si>
  <si>
    <t>https://ebookcentral.proquest.com/lib/viva-active/detail.action?docID=3338245</t>
  </si>
  <si>
    <t>Blackbird's Song : Andrew J. Blackbird and the Odawa People</t>
  </si>
  <si>
    <t>Karamanski, Theodore J.</t>
  </si>
  <si>
    <t>Blackbird, Andrew J., -- b. 1810. ; Ottawa Indians -- Michigan -- Biography. ; Indian authors -- Michigan -- Biography. ; Ottawa Indians -- History. ; Ottawa Indians -- Social life and customs.</t>
  </si>
  <si>
    <t>https://ebookcentral.proquest.com/lib/viva-active/detail.action?docID=3338264</t>
  </si>
  <si>
    <t>Contested Territories : Native Americans and Non-Natives in the Lower Great Lakes, 1700-1850</t>
  </si>
  <si>
    <t>Beatty-Medina, Charles;Rinehart, Melissa</t>
  </si>
  <si>
    <t>Indians of North America -- Land tenure -- Great Lakes Region (North America) ; Indians of North America -- First contact with Europeans -- Great Lakes Region (North America) ; Indians of North America -- Great Lakes Region (North America) -- History. ; Great Lakes Region (North America) -- History. ; Great Lakes Region (North America) -- Race relations. ; Great Lakes Region (North America) -- Politics and government.</t>
  </si>
  <si>
    <t>https://ebookcentral.proquest.com/lib/viva-active/detail.action?docID=3338274</t>
  </si>
  <si>
    <t>Minong : The Good Place Ojibwe and Isle Royale</t>
  </si>
  <si>
    <t>Cochrane, Timothy</t>
  </si>
  <si>
    <t>Ojibwa Indians -- Michigan -- Isle Royale National Park -- History. ; Ojibwa Indians -- Michigan -- Isle Royale National Park -- Antiquities. ; Isle Royale National Park (Mich.) -- History. ; Isle Royale National Park (Mich.) -- Antiquities.</t>
  </si>
  <si>
    <t>https://ebookcentral.proquest.com/lib/viva-active/detail.action?docID=3338277</t>
  </si>
  <si>
    <t>The Geoarchaeology of Lake Michigan Coastal Dunes</t>
  </si>
  <si>
    <t>Environmental Research Ser.</t>
  </si>
  <si>
    <t>Lovis, William A.;Arbogast, Alan F.;Monaghan, G. William</t>
  </si>
  <si>
    <t>Indians of North America -- Michigan -- Antiquities. ; Indians of North America -- Michigan, Lake -- Antiquities. ; Archaeological geology -- Michigan, Lake. ; Coastal archaeology -- Michigan, Lake. ; Sand dunes -- Michigan, Lake. ; Michigan, Lake -- Antiquities.</t>
  </si>
  <si>
    <t>https://ebookcentral.proquest.com/lib/viva-active/detail.action?docID=3338291</t>
  </si>
  <si>
    <t>Centering Anishinaabeg Studies : Understanding the World Through Stories</t>
  </si>
  <si>
    <t>Doerfler, Jill;Sinclair, Niigaanwewidam James;Stark, Heidi Kiiwetinepinesiik</t>
  </si>
  <si>
    <t>Ojibwa Indians - Conduct of life</t>
  </si>
  <si>
    <t>https://ebookcentral.proquest.com/lib/viva-active/detail.action?docID=3338298</t>
  </si>
  <si>
    <t>French and Indians in the Heart of North America, 1630-1815</t>
  </si>
  <si>
    <t>Englebert, Robert;Teasdale, Guillaume;Teasdale, Guillaume</t>
  </si>
  <si>
    <t>French - Mississippi River Valley - History</t>
  </si>
  <si>
    <t>https://ebookcentral.proquest.com/lib/viva-active/detail.action?docID=3338303</t>
  </si>
  <si>
    <t>Seeing Red--Hollywood's Pixeled Skins : American Indians and Film</t>
  </si>
  <si>
    <t>Cummings, Denise K.;Howe, LeAnne;Markowitz, Harvey;Markowitz, Harvey</t>
  </si>
  <si>
    <t>Indians in motion pictures</t>
  </si>
  <si>
    <t>https://ebookcentral.proquest.com/lib/viva-active/detail.action?docID=3338305</t>
  </si>
  <si>
    <t>The Militarization of Indian Country</t>
  </si>
  <si>
    <t>Makwa Enewed Ser.</t>
  </si>
  <si>
    <t>LaDuke, Winona;Cruz, Sean Aaron</t>
  </si>
  <si>
    <t>Defense industries -- United States. ; Environmental policy -- United States. ; Environmental protection -- United States. ; Indians of North America -- Government relations. ; Indians of North America -- Land tenure. ; Indians of North America -- Politics and government. ; Indigenous peoples -- Ecology -- United States.</t>
  </si>
  <si>
    <t>https://ebookcentral.proquest.com/lib/viva-active/detail.action?docID=3338314</t>
  </si>
  <si>
    <t>Facing the Future : The Indian Child Welfare Act At 30</t>
  </si>
  <si>
    <t>Fletcher, Matthew L. M.;Singel, Wenona T.;Fort, Kathryn E.;Petoskey, Michael D</t>
  </si>
  <si>
    <t>United States. -- Indian Child Welfare Act of 1978. ; Indian children -- Legal status, laws, etc. -- United States.</t>
  </si>
  <si>
    <t>https://ebookcentral.proquest.com/lib/viva-active/detail.action?docID=3338335</t>
  </si>
  <si>
    <t>Bawaajimo : A Dialect of Dreams in Anishinaabe Language and Literature</t>
  </si>
  <si>
    <t>Noodin, Margaret</t>
  </si>
  <si>
    <t>Ojibwa language -- Dialects -- North America. ; Ojibwa language -- Folklore. ; Ojibwa literature -- History and criticism.</t>
  </si>
  <si>
    <t>https://ebookcentral.proquest.com/lib/viva-active/detail.action?docID=3338342</t>
  </si>
  <si>
    <t>The Murder of Joe White : Ojibwe Leadership and Colonialism in Wisconsin</t>
  </si>
  <si>
    <t>Redix, Erik M.</t>
  </si>
  <si>
    <t>White, Joe. ; Leadership -- Wisconsin. ; Colonies -- Wisconsin. ; Ojibwa Indians. ; Imperialism -- Wisconsin. ; World politics -- Wisconsin.</t>
  </si>
  <si>
    <t>https://ebookcentral.proquest.com/lib/viva-active/detail.action?docID=3338368</t>
  </si>
  <si>
    <t>Mediating Indianness</t>
  </si>
  <si>
    <t>Waegner, Cathy Covell</t>
  </si>
  <si>
    <t>Indians in mass media</t>
  </si>
  <si>
    <t>https://ebookcentral.proquest.com/lib/viva-active/detail.action?docID=3338383</t>
  </si>
  <si>
    <t>Instituting Nature : Authority, Expertise, and Power in Mexican Forests</t>
  </si>
  <si>
    <t>MIT Press</t>
  </si>
  <si>
    <t>Politics, Science, and the Environment Ser.</t>
  </si>
  <si>
    <t>Mathews, Andrew S.;Haas, Peter M.;Jasanoff, Sheila</t>
  </si>
  <si>
    <t>Environmental Studies; History; Economics</t>
  </si>
  <si>
    <t>Zapotec Indians -- Mexico -- Ixtlán de Juárez -- Social conditions. ; Zapotec Indians -- Industries -- Mexico -- Ixtlán de Juárez. ; Zapotec Indians -- Mexico -- Ixtlán de Juárez -- Government relations. ; Indigenous peoples -- Ecology -- Mexico -- Ixtlán de Juárez. ; Forests and forestry -- Mexico -- Ixtlán de Juárez. ; Forest management -- Mexico -- Ixtlán de Juárez. ; Forest conservation -- Mexico -- Ixtlán de Juárez.</t>
  </si>
  <si>
    <t>https://ebookcentral.proquest.com/lib/viva-active/detail.action?docID=3339344</t>
  </si>
  <si>
    <t>Who's Asking? : Native Science, Western Science, and Science Education</t>
  </si>
  <si>
    <t>The MIT Press Ser.</t>
  </si>
  <si>
    <t>Medin, Douglas L.;Bang, Megan</t>
  </si>
  <si>
    <t>Indians -- Science. ; Indian philosophy. ; Science -- Philosophy. ; Ethnoscience. ; Science -- Study and teaching. ; Indians -- Education. ; Science -- Social aspects.</t>
  </si>
  <si>
    <t>https://ebookcentral.proquest.com/lib/viva-active/detail.action?docID=3339722</t>
  </si>
  <si>
    <t>Subversion, Conversion, Development : Cross-Cultural Knowledge Exchange and the Politics of Design</t>
  </si>
  <si>
    <t>Infrastructures Ser.</t>
  </si>
  <si>
    <t>Leach, James;Wilson, Lee;Bala, Poline;Blackwell, Alan F.;Chambers, Wade;Christie, Michael;Diemberger, Hildegard;Hugh-Jones, Stephen;Nafus, Dawn;Petersen, Gregers</t>
  </si>
  <si>
    <t>Information technology -- Social aspects. ; Technological innovations -- Social aspects. ; Community development -- Case studies. ; Internet and indigenous peoples. ; Computers and civilization.</t>
  </si>
  <si>
    <t>https://ebookcentral.proquest.com/lib/viva-active/detail.action?docID=3339809</t>
  </si>
  <si>
    <t>Leveraging Culture to Address Health Inequalities : Examples from Native Communities: Workshop Summary</t>
  </si>
  <si>
    <t>National Academies Press</t>
  </si>
  <si>
    <t>Anderson, Karen M.;Roundtable on the Promotion of Health Equity and the Elimination of Health Disparities;Board on Population Health and Public Health Practice;Institute of Medicine;Olson, Steve</t>
  </si>
  <si>
    <t>Minorities -- Medical care -- Congresses. ; Public health -- Social aspects -- Congresses.</t>
  </si>
  <si>
    <t>https://ebookcentral.proquest.com/lib/viva-active/detail.action?docID=3379225</t>
  </si>
  <si>
    <t>Accomplishing NAGPRA : Perspectives on the Intent, Impact, and Future of the Native American Graves Protection and Repatriation Act</t>
  </si>
  <si>
    <t>Oregon State University Press</t>
  </si>
  <si>
    <t>Chari, Sangita;Lavallee, Jaime M.N.</t>
  </si>
  <si>
    <t>United States. -- Native American Graves Protection and Repatriation Act. ; Human remains (Archaeology) -- Law and legislation -- United States. ; Human remains (Archaeology) -- Repatriation -- Law and legislation -- United States. ; Indians of North America -- Antiquities -- Law and legislation. ; Cultural property -- Repatriation -- United States. ; Indians of North America -- Material culture.</t>
  </si>
  <si>
    <t>https://ebookcentral.proquest.com/lib/viva-active/detail.action?docID=3384220</t>
  </si>
  <si>
    <t>Deeper Sense Of Place : Stories And Journeys Of Indigenous-Academic Collaboration</t>
  </si>
  <si>
    <t>Johnson, Jay T.;Larsen, Soren C.</t>
  </si>
  <si>
    <t>Social Science; Geography/Travel</t>
  </si>
  <si>
    <t>Geographical perception. ; Place attachment. ; Environmental psychology. ; Indigenous peoples -- Folklore. ; Ethnopsychology. ; Communication in folklore. ; Place-based education.</t>
  </si>
  <si>
    <t>https://ebookcentral.proquest.com/lib/viva-active/detail.action?docID=3384221</t>
  </si>
  <si>
    <t>Against The Grain : Advances in Postcolonial Organization Studies</t>
  </si>
  <si>
    <t>Samfundslitteratur Press</t>
  </si>
  <si>
    <t xml:space="preserve">Prasad, Anshuman;Olsen, Johan P. ;Prasad, Anshuman ;Clegg, Stewart R. ;Stablein, Ralph E. </t>
  </si>
  <si>
    <t>Postcolonialism. ; Multiculturalism. ; Indigenous peoples -- Politics and government. ; Organization. ; Organizational sociology.</t>
  </si>
  <si>
    <t>https://ebookcentral.proquest.com/lib/viva-active/detail.action?docID=3400853</t>
  </si>
  <si>
    <t>Conversations with Remarkable Native Americans</t>
  </si>
  <si>
    <t>State University of New York Press</t>
  </si>
  <si>
    <t>SUNY Series, Native Traces</t>
  </si>
  <si>
    <t>Rostkowski, Joelle</t>
  </si>
  <si>
    <t>Indians of North America -- Biography. ; Indians of North America -- Civil rights. ; Indians of North America -- Government relations. ; Indians of North America -- Ethnic identity. ; Indians of North America -- Intellectual life.</t>
  </si>
  <si>
    <t>https://ebookcentral.proquest.com/lib/viva-active/detail.action?docID=3407030</t>
  </si>
  <si>
    <t>Red Ink : Native Americans Picking up the Pen in the Colonial Period</t>
  </si>
  <si>
    <t>SUNY Series, Native Traces Ser.</t>
  </si>
  <si>
    <t>Lopenzina, Drew</t>
  </si>
  <si>
    <t>American literature -- Indian authors -- History and criticism. ; American literature -- Colonial period, ca. 1600-1775 -- History and criticism. ; Indians in literature. ; Indians of North America -- Intellectual life.</t>
  </si>
  <si>
    <t>https://ebookcentral.proquest.com/lib/viva-active/detail.action?docID=3407056</t>
  </si>
  <si>
    <t>Strong Hearts, Native Lands : The Cultural and Political Landscape of Anishinaabe Anti-Clearcutting Activism</t>
  </si>
  <si>
    <t>SUNY Series, Tribal Worlds: Critical Studies in American Indian Nation Building Ser.</t>
  </si>
  <si>
    <t>Willow, Anna J.</t>
  </si>
  <si>
    <t>Ojibwa Indians -- Ontario -- Kenora Region -- Politics and government. ; Ojibwa Indians -- Ontario -- Kenora Region -- Social conditions. ; Ojibwa Indians -- Ontario -- Kenora Region -- Ethnic identity. ; Clearcutting -- Ontario -- Kenora Region. ; Forest protection -- Ontario -- Kenora Region. ; Indian activists -- Ontario -- Kenora Region. ; Environmentalists -- Ontario -- Kenora Region.</t>
  </si>
  <si>
    <t>https://ebookcentral.proquest.com/lib/viva-active/detail.action?docID=3407064</t>
  </si>
  <si>
    <t>Maurice Kenny : Celebrations of a Mohawk Writer</t>
  </si>
  <si>
    <t>Kelsey, Penelope Myrtle;Bruchac, Joseph</t>
  </si>
  <si>
    <t>Kenny, Maurice, -- 1929- -- Criticism and interpretation. ; Indians in literature.</t>
  </si>
  <si>
    <t>https://ebookcentral.proquest.com/lib/viva-active/detail.action?docID=3407109</t>
  </si>
  <si>
    <t>Native Authenticity : Transnational Perspectives on Native American Literary Studies</t>
  </si>
  <si>
    <t>American literature -- Indian authors -- History and criticism. ; Indians in literature. ; Indians of North America -- Ethnic identity. ; Authenticity (Philosophy) in literature.</t>
  </si>
  <si>
    <t>https://ebookcentral.proquest.com/lib/viva-active/detail.action?docID=3407118</t>
  </si>
  <si>
    <t>The Tonawanda Senecas' Heroic Battle Against Removal : Conservative Activist Indians</t>
  </si>
  <si>
    <t>Excelsior Editions Ser.</t>
  </si>
  <si>
    <t>Hauptman, Laurence M.</t>
  </si>
  <si>
    <t>Seneca Indians -- New York (State) -- History. ; Seneca Indians -- New York (State) -- Politics and government. ; Tonawanda Band of Seneca Indians of New York -- History. ; Tonawanda Band of Seneca Indians of New York -- Politics and government.</t>
  </si>
  <si>
    <t>https://ebookcentral.proquest.com/lib/viva-active/detail.action?docID=3407139</t>
  </si>
  <si>
    <t>Hocak Teaching Materials, Volume 2 : Texts with Analysis and Translation, and an Audio-CD of Original Hocak Texts</t>
  </si>
  <si>
    <t>North American Native Peoples, Past and Present Ser.</t>
  </si>
  <si>
    <t>Hartmann, Iren;Marschke, Christian</t>
  </si>
  <si>
    <t>Winnebago language -- Grammar. ; Winnebago language -- Phonetics. ; Winnebago language -- Spoken Winnebago. ; Indians of North America -- Languages.</t>
  </si>
  <si>
    <t>https://ebookcentral.proquest.com/lib/viva-active/detail.action?docID=3407164</t>
  </si>
  <si>
    <t>Potent Mana : Lessons in Power and Healing</t>
  </si>
  <si>
    <t>Marshall, Wende Elizabeth</t>
  </si>
  <si>
    <t>Colonization -- Psychological aspects. ; Self-determination, National -- Hawaii. ; Hawaiians -- Ethnic identity. ; Hawaiians -- Social conditions. ; Indigenous peoples -- Ethnic identity. ; Indigenous peoples -- Government relations. ; Hawaii -- History -- 1959-</t>
  </si>
  <si>
    <t>https://ebookcentral.proquest.com/lib/viva-active/detail.action?docID=3407167</t>
  </si>
  <si>
    <t>Becoming an Ancestor : The Isthmus Zapotec Way of Death</t>
  </si>
  <si>
    <t>Royce, Anya Peterson</t>
  </si>
  <si>
    <t>Zapotec Indians -- Funeral customs and rites -- Mexico -- Juchitán de Zaragoza. ; Zapotec Indians -- Mexico -- Juchitán de Zaragoza -- Religion. ; Zapotec Indians -- Mexico -- Juchitán de Zaragoza -- Social life and customs. ; Funeral rites and ceremonies -- Mexico -- Juchitán de Zaragoza. ; Juchitán de Zaragoza (Mexico) -- Religious life and customs. ; Juchitán de Zaragoza (Mexico) -- Social life and customs.</t>
  </si>
  <si>
    <t>https://ebookcentral.proquest.com/lib/viva-active/detail.action?docID=3407177</t>
  </si>
  <si>
    <t>Nantucket and Other Native Places : The Legacy of Elizabeth Alden Little</t>
  </si>
  <si>
    <t>Chilton, Elizabeth S.;Rainey, Mary Lynne</t>
  </si>
  <si>
    <t>Little, Elizabeth A. ; Indians of North America -- Massachusetts -- Nantucket Island -- Antiquities. ; Indians of North America -- New England -- Antiquities. ; Nantucket Island (Mass.) -- Antiquities. ; New England -- Antiquities.</t>
  </si>
  <si>
    <t>https://ebookcentral.proquest.com/lib/viva-active/detail.action?docID=3407204</t>
  </si>
  <si>
    <t>Hocak Teaching Materials, Volume 1 : Elements of Grammar/Learner's Dictionary</t>
  </si>
  <si>
    <t xml:space="preserve">Helmbrecht, Johannes;Lehmann, Christian;Demallie, Raymond ;Parks, Douglas </t>
  </si>
  <si>
    <t>Indians of North America -- Languages. ; Winnebago language -- Dictionaries. ; Winnebago language -- Grammar. ; Winnebago language -- Phonetics.</t>
  </si>
  <si>
    <t>https://ebookcentral.proquest.com/lib/viva-active/detail.action?docID=3407218</t>
  </si>
  <si>
    <t>How Mockingbirds Are : O'odham Ritual Orations</t>
  </si>
  <si>
    <t>Bahr, Donald</t>
  </si>
  <si>
    <t>Indian mythology -- Arizona. ; Indian mythology -- Mexico -- Sonora (State) ; Pima Indians -- Arizona -- Rites and ceremonies. ; Pima Indians -- Mexico -- Sonora (State) -- Rites and ceremonies. ; Speeches, addresses, etc., Indian -- Arizona. ; Speeches, addresses, etc., Indian -- Mexico -- Sonora (State) ; Tohono O''odham Indians -- Arizona -- Rites and ceremonies.</t>
  </si>
  <si>
    <t>https://ebookcentral.proquest.com/lib/viva-active/detail.action?docID=3407228</t>
  </si>
  <si>
    <t>The Dance of Person and Place : One Interpretation of American Indian Philosophy</t>
  </si>
  <si>
    <t>SUNY Series in Living Indigenous Philosophies Ser.</t>
  </si>
  <si>
    <t xml:space="preserve">Norton-Smith, Thomas M.;Norton-Smith Thomas M Project Muse, </t>
  </si>
  <si>
    <t>Indian philosophy -- North America. ; Philosophy.</t>
  </si>
  <si>
    <t>https://ebookcentral.proquest.com/lib/viva-active/detail.action?docID=3407232</t>
  </si>
  <si>
    <t>Memory Matters : Proceedings from the 2010 Conference Hosted by the Humanities Center, Miami University of Ohio</t>
  </si>
  <si>
    <t>Cobb, Daniel M.;Sheumaker, Helen</t>
  </si>
  <si>
    <t>Memory -- Social aspects -- United States -- Congresses. ; Collective memory -- United States -- Congresses. ; Memorials -- Social aspects -- United States -- Congresses. ; Public history -- United States -- Congresses. ; Indians of North America -- History -- Congresses. ; Museums -- Social aspects -- United States -- Congresses. ; United States -- History -- Philosophy -- Congresses.</t>
  </si>
  <si>
    <t>https://ebookcentral.proquest.com/lib/viva-active/detail.action?docID=3407294</t>
  </si>
  <si>
    <t>Cultural Sites of Critical Insight : Philosophy, Aesthetics, and African American and Native American Women's Writings</t>
  </si>
  <si>
    <t>Cotten, Angela L.;Acampora, Christa Davis</t>
  </si>
  <si>
    <t>African American women authors -- Aesthetics. ; African American women in literature. ; American literature -- African American authors -- History and criticism. ; American literature -- Indian authors -- History and criticism. ; American literature -- Women authors -- History and criticism. ; Feminism in literature. ; Indian women authors -- Aesthetics.</t>
  </si>
  <si>
    <t>https://ebookcentral.proquest.com/lib/viva-active/detail.action?docID=3407467</t>
  </si>
  <si>
    <t>Archaic Societies : Diversity and Complexity Across the Midcontinent</t>
  </si>
  <si>
    <t>Emerson, Thomas E.;McElrath, Dale L.;Fortier, Andrew C.</t>
  </si>
  <si>
    <t>Paleo-Indians -- North America. ; Hunting and gathering societies -- North America. ; Archaeology -- North America.</t>
  </si>
  <si>
    <t>https://ebookcentral.proquest.com/lib/viva-active/detail.action?docID=3408250</t>
  </si>
  <si>
    <t>Beverwijck : A Dutch Village on the American Frontier, 1652-1664</t>
  </si>
  <si>
    <t>Venema, Janny</t>
  </si>
  <si>
    <t>Dutch Americans -- New York (State) -- Albany -- History -- 17th century. ; Frontier and pioneer life -- New York (State) -- Albany. ; Indians of North America -- New York (State) -- Albany -- History -- 17th century. ; Albany (N.Y.) -- History -- 17th century. ; Albany (N.Y.) -- Social conditions -- 17th century. ; Albany (N.Y.) -- Ethnic relations. ; United States -- Civilization -- Indian influences -- Case studies.</t>
  </si>
  <si>
    <t>https://ebookcentral.proquest.com/lib/viva-active/detail.action?docID=3408625</t>
  </si>
  <si>
    <t>Roving Mariners : Australian Aboriginal Whalers and Sealers in the Southern Oceans, 1790-1870</t>
  </si>
  <si>
    <t>Russell, Lynette</t>
  </si>
  <si>
    <t>Aboriginal Australians -- History. ; Aboriginal Australians -- Fishing. ; Aboriginal Australians -- Commerce. ; Whaling -- Australia -- History. ; Sealing -- Australia -- History.</t>
  </si>
  <si>
    <t>https://ebookcentral.proquest.com/lib/viva-active/detail.action?docID=3408633</t>
  </si>
  <si>
    <t>Amskapi Pikuni : The Blackfeet People</t>
  </si>
  <si>
    <t>Wissler, Clark;Kehoe, Alice Beck;Miller, Stewart E.</t>
  </si>
  <si>
    <t>Siksika Indians -- History. ; Siksika Indians -- Government relations. ; Siksika Indians -- Cultural assimilation.</t>
  </si>
  <si>
    <t>https://ebookcentral.proquest.com/lib/viva-active/detail.action?docID=3408665</t>
  </si>
  <si>
    <t>Tuscarora : A History</t>
  </si>
  <si>
    <t>Wallace, Anthony F. C.</t>
  </si>
  <si>
    <t>Tuscarora Indians -- History. ; Tuscarora Indians -- Social life and customs.</t>
  </si>
  <si>
    <t>https://ebookcentral.proquest.com/lib/viva-active/detail.action?docID=3408672</t>
  </si>
  <si>
    <t>Indigenous North American Drama : A Multivocal History</t>
  </si>
  <si>
    <t>Däwes, Birgit</t>
  </si>
  <si>
    <t>American drama -- Indian authors -- History and criticism. ; American drama -- 20th century -- History and criticism. ; American drama -- 21st century -- History and criticism. ; Canadian drama -- Indian authors -- History and criticism. ; Canadian drama -- 20th century -- History and criticism. ; Canadian drama -- 21st century -- History and criticism. ; Collective memory in literature.</t>
  </si>
  <si>
    <t>https://ebookcentral.proquest.com/lib/viva-active/detail.action?docID=3408687</t>
  </si>
  <si>
    <t>Native Recognition : Indigenous Cinema and the Western</t>
  </si>
  <si>
    <t>SUNY Series, Horizons of Cinema Ser.</t>
  </si>
  <si>
    <t>Indians in motion pictures. ; Indigenous films -- United States. ; Western films -- United States.</t>
  </si>
  <si>
    <t>https://ebookcentral.proquest.com/lib/viva-active/detail.action?docID=3408701</t>
  </si>
  <si>
    <t>Tribal Worlds : Critical Studies in American Indian Nation Building</t>
  </si>
  <si>
    <t>Hosmer, Brian;Nesper, Larry</t>
  </si>
  <si>
    <t>Indians of North America -- Politics and government. ; Indians of North America -- Government relations. ; Indians of North America -- Civil rights. ; Nationalism -- United States. ; Nation-building -- United States. ; Self-determination, National -- United States. ; United States -- Politics and government.</t>
  </si>
  <si>
    <t>https://ebookcentral.proquest.com/lib/viva-active/detail.action?docID=3408710</t>
  </si>
  <si>
    <t>Indigenous Bodies : Reviewing, Relocating, Reclaiming</t>
  </si>
  <si>
    <t>Fear-Segal, Jacqueline;Tillett, Rebecca</t>
  </si>
  <si>
    <t>Indian art -- North America. ; Indian philosophy -- North America. ; Indian artists -- North America. ; Human body -- Symbolic aspects. ; Human figure in art. ; Human body in literature. ; Indian literature -- North America -- History and criticism.</t>
  </si>
  <si>
    <t>https://ebookcentral.proquest.com/lib/viva-active/detail.action?docID=3408778</t>
  </si>
  <si>
    <t>Beyond Two Worlds : Critical Conversations on Language and Power in Native North America</t>
  </si>
  <si>
    <t>Buss, James Joseph;Genetin-Pilawa, C. Joseph</t>
  </si>
  <si>
    <t>Indians of North America -- Ethinic identity. ; Indians of North America -- Cultural assimilation.</t>
  </si>
  <si>
    <t>https://ebookcentral.proquest.com/lib/viva-active/detail.action?docID=3408922</t>
  </si>
  <si>
    <t>The Testimonial Uncanny : Indigenous Storytelling, Knowledge, and Reparative Practices</t>
  </si>
  <si>
    <t>Emberley, Julia V.</t>
  </si>
  <si>
    <t>Indigenous authors -- 20th century. ; Indigenous authors -- 21st century. ; American literature -- Indian authors -- History and criticism. ; Canadian literature -- Indian authors -- History and criticism. ; New Zealand literature -- Maori authors -- History and criticism.</t>
  </si>
  <si>
    <t>https://ebookcentral.proquest.com/lib/viva-active/detail.action?docID=3408933</t>
  </si>
  <si>
    <t>At the Font of the Marvelous : Exploring Oral Narrative and Mythic Imagery of the Iroquois and Their Neighbors</t>
  </si>
  <si>
    <t>Syracuse University Press</t>
  </si>
  <si>
    <t>The Iroquois and Their Neighbors Ser.</t>
  </si>
  <si>
    <t>Wonderley, Anthony</t>
  </si>
  <si>
    <t>Iroquois Indians -- Folklore. ; Algonquian Indians -- Folklore. ; Indian mythology -- New York (State) ; Indian mythology -- Ontario. ; Oral history -- New York (State) ; Oral history -- Ontario. ; Folklore -- New York (State)</t>
  </si>
  <si>
    <t>https://ebookcentral.proquest.com/lib/viva-active/detail.action?docID=3410059</t>
  </si>
  <si>
    <t>Native Americans and the Legacy of Harry S. Truman</t>
  </si>
  <si>
    <t>Truman State University Press</t>
  </si>
  <si>
    <t>Truman Legacy Series</t>
  </si>
  <si>
    <t>Hosmer, Brian</t>
  </si>
  <si>
    <t>Truman, Harry S., -- 1884-1972 -- Relations with Indians. ; Indians of North America -- 1934- -- Government relations. ; Indian termination policy. ; Self-determination, National -- United States. ; Indians of North America -- Cultural assimilation. ; United States -- Politics and government -- 1953-1961.</t>
  </si>
  <si>
    <t>https://ebookcentral.proquest.com/lib/viva-active/detail.action?docID=3411550</t>
  </si>
  <si>
    <t>We Are Our Language : An Ethnography of Language Revitalization in a Northern Athabaskan Community</t>
  </si>
  <si>
    <t>University of Arizona Press</t>
  </si>
  <si>
    <t>Meek, Barbra A.</t>
  </si>
  <si>
    <t>Language/Linguistics; History</t>
  </si>
  <si>
    <t>Kaska Indians -- Yukon -- Languages. ; Athapascan languages -- Yukon -- Revival. ; Language revival -- Yukon.</t>
  </si>
  <si>
    <t>https://ebookcentral.proquest.com/lib/viva-active/detail.action?docID=3411723</t>
  </si>
  <si>
    <t>Maguey Journey : Discovering Textiles in Guatemala</t>
  </si>
  <si>
    <t>Rousso, Kathryn</t>
  </si>
  <si>
    <t>Business/Management; Economics; History</t>
  </si>
  <si>
    <t>Agaves - Utilization - Guatemala</t>
  </si>
  <si>
    <t>https://ebookcentral.proquest.com/lib/viva-active/detail.action?docID=3411725</t>
  </si>
  <si>
    <t>The Life-Giving Stone : Ethnoarchaeology of Maya Metates</t>
  </si>
  <si>
    <t>Searcy, Michael T.</t>
  </si>
  <si>
    <t>Engineering; History; Engineering: Chemical</t>
  </si>
  <si>
    <t>San Luis Jilotepeque (Guatemala) - Social life and customs</t>
  </si>
  <si>
    <t>https://ebookcentral.proquest.com/lib/viva-active/detail.action?docID=3411729</t>
  </si>
  <si>
    <t>Ritual and Remembrance in the Ecuadorian Andes : Ritual and Remembrance In the Ecuadorian Andes</t>
  </si>
  <si>
    <t>Corr, Rachel</t>
  </si>
  <si>
    <t>Catholic Church -- Ecuador -- Salasaca -- History. ; Indians of South America -- Ecuador -- Salasaca -- History. ; Indians of South America -- Ecuador -- Salasaca -- Rites and ceremonies. ; Indians of South America -- Ecuador -- Salasaca -- Religion. ; Fasts and feasts -- Ecuador -- Salasaca -- History. ; Salasaca (Ecuador) -- History. ; Salasaca (Ecuador) -- Religious life and customs.</t>
  </si>
  <si>
    <t>https://ebookcentral.proquest.com/lib/viva-active/detail.action?docID=3411733</t>
  </si>
  <si>
    <t>Trust in the Land : New Directions in Tribal Conservation</t>
  </si>
  <si>
    <t>Middleton Manning, Beth Rose</t>
  </si>
  <si>
    <t>Conservation easements - United States</t>
  </si>
  <si>
    <t>https://ebookcentral.proquest.com/lib/viva-active/detail.action?docID=3411735</t>
  </si>
  <si>
    <t>Maya Ethnolinguistic Identity : Violence, Cultural Rights, and Modernity in Highland Guatemala</t>
  </si>
  <si>
    <t>French, Brigittine M.</t>
  </si>
  <si>
    <t>Politics and culture - Guatemala</t>
  </si>
  <si>
    <t>https://ebookcentral.proquest.com/lib/viva-active/detail.action?docID=3411740</t>
  </si>
  <si>
    <t>Native American Language Ideologies : Beliefs, Practices, and Struggles in Indian Country</t>
  </si>
  <si>
    <t>Kroskrity, Paul V.;Field, Margaret C.</t>
  </si>
  <si>
    <t>Indians -- Languages -- Social aspects. ; Language and culture -- America. ; Ideology -- America. ; Indians -- Ethnic identity. ; Anthropological linguistics -- America. ; Indians -- Social life and customs.</t>
  </si>
  <si>
    <t>https://ebookcentral.proquest.com/lib/viva-active/detail.action?docID=3411741</t>
  </si>
  <si>
    <t>Across a Great Divide : Continuity and Change in Native North American Societies, 1400-1900</t>
  </si>
  <si>
    <t>Amerind Studies in Archaeology Ser.</t>
  </si>
  <si>
    <t>Tregonning, K. G.;Scheiber, Laura L.;Mitchell, Mark D.</t>
  </si>
  <si>
    <t>North America - Colonization - Social aspects</t>
  </si>
  <si>
    <t>https://ebookcentral.proquest.com/lib/viva-active/detail.action?docID=3411743</t>
  </si>
  <si>
    <t>Prehistory, Personality, and Place : Emil W. Haury and the Mogollon Controversy</t>
  </si>
  <si>
    <t>Reid, Jefferson;Whittlesey, Stephanie</t>
  </si>
  <si>
    <t>Point of Pines Site (Ariz.)</t>
  </si>
  <si>
    <t>https://ebookcentral.proquest.com/lib/viva-active/detail.action?docID=3411746</t>
  </si>
  <si>
    <t>Lessons from a Quechua Strongwoman : Ideophony, Dialogue, and Perspective</t>
  </si>
  <si>
    <t>Nuckolls, Janis B.</t>
  </si>
  <si>
    <t>Puyo (Pastaza, Ecuador) - Social conditions</t>
  </si>
  <si>
    <t>https://ebookcentral.proquest.com/lib/viva-active/detail.action?docID=3411749</t>
  </si>
  <si>
    <t>Imprints on Native Lands : The Miskito-Moravian Settlement Landscape in Honduras</t>
  </si>
  <si>
    <t>Tillman, Benjamin F.;Tillman, Benjamin F</t>
  </si>
  <si>
    <t>Moravians - Missions - Honduras - History</t>
  </si>
  <si>
    <t>https://ebookcentral.proquest.com/lib/viva-active/detail.action?docID=3411751</t>
  </si>
  <si>
    <t>White Man's Water : The Politics of Sobriety in a Native American Community</t>
  </si>
  <si>
    <t>Prussing, Erica</t>
  </si>
  <si>
    <t>Health; Social Science; History</t>
  </si>
  <si>
    <t>Northern Cheyenne Indian Reservation (Mont.) - Social conditions</t>
  </si>
  <si>
    <t>https://ebookcentral.proquest.com/lib/viva-active/detail.action?docID=3411752</t>
  </si>
  <si>
    <t>State Healthcare and Yanomami Transformations : A Symmetrical Ethnography</t>
  </si>
  <si>
    <t>Kelly, José Antonio;Kelly, José Antonio</t>
  </si>
  <si>
    <t>History; Social Science; Health</t>
  </si>
  <si>
    <t>Orinoco River Delta (Venezuela) - Social conditions</t>
  </si>
  <si>
    <t>https://ebookcentral.proquest.com/lib/viva-active/detail.action?docID=3411761</t>
  </si>
  <si>
    <t>Native American Performance and Representation</t>
  </si>
  <si>
    <t>Wilmer, S. E.</t>
  </si>
  <si>
    <t>Fine Arts; Literature</t>
  </si>
  <si>
    <t>American drama -- Indian authors -- History and criticism. ; American drama -- 20th century -- History and criticism. ; Canadian drama -- Indian authors -- History and criticism. ; Canadian drama -- 20th century -- History and criticism. ; Indian dance -- North America. ; Indian theater -- United States -- History -- 20th century. ; Indians in literature.</t>
  </si>
  <si>
    <t>https://ebookcentral.proquest.com/lib/viva-active/detail.action?docID=3411766</t>
  </si>
  <si>
    <t>Eating the Landscape : American Indian Stories of Food, Identity, and Resilience</t>
  </si>
  <si>
    <t>Salmón, Enrique;Salmón, Enrique;Salmón, Enrique</t>
  </si>
  <si>
    <t>Indians of North America - Agriculture - Southwest, New</t>
  </si>
  <si>
    <t>https://ebookcentral.proquest.com/lib/viva-active/detail.action?docID=3411772</t>
  </si>
  <si>
    <t>Population Circulation and the Transformation of Ancient Zuni Communities</t>
  </si>
  <si>
    <t>Schachner, Gregson</t>
  </si>
  <si>
    <t>Community organization - Southwest, New - History</t>
  </si>
  <si>
    <t>https://ebookcentral.proquest.com/lib/viva-active/detail.action?docID=3411773</t>
  </si>
  <si>
    <t>Crow-Omaha : New Light on a Classic Problem of Kinship Analysis</t>
  </si>
  <si>
    <t>Trautmann, Thomas R.;Whiteley, Peter M.</t>
  </si>
  <si>
    <t>Social evolution - Great Plains - History</t>
  </si>
  <si>
    <t>https://ebookcentral.proquest.com/lib/viva-active/detail.action?docID=3411774</t>
  </si>
  <si>
    <t>The Neighborhood As a Social and Spatial Unit in Mesoamerican Cities</t>
  </si>
  <si>
    <t>Arnauld, M. Charlotte;Manzanilla, Linda R.;Smith, Michael E.</t>
  </si>
  <si>
    <t>Neighborhoods - Central America - History</t>
  </si>
  <si>
    <t>https://ebookcentral.proquest.com/lib/viva-active/detail.action?docID=3411775</t>
  </si>
  <si>
    <t>Decolonizing Indigenous Histories : Exploring Prehistoric/Colonial Transitions in Archaeology</t>
  </si>
  <si>
    <t>Archaeology of Indigenous-Colonial Interactions in the Americas Ser.</t>
  </si>
  <si>
    <t>Oland, Maxine;Hart, Siobhan M.;Frink, Liam</t>
  </si>
  <si>
    <t>https://ebookcentral.proquest.com/lib/viva-active/detail.action?docID=3411776</t>
  </si>
  <si>
    <t>Leaving Mesa Verde : Peril and Change in the Thirteenth-Century Southwest</t>
  </si>
  <si>
    <t>Kohler, Timothy A.;Varien, Mark D.;Wright, Aaron M.</t>
  </si>
  <si>
    <t>Colorado Plateau - Population - History - To 1500</t>
  </si>
  <si>
    <t>https://ebookcentral.proquest.com/lib/viva-active/detail.action?docID=3411778</t>
  </si>
  <si>
    <t>In the Smaller Scope of Conscience : The Struggle for National Repatriation Legislation, 1986-1990</t>
  </si>
  <si>
    <t>McKeown, C. Timothy</t>
  </si>
  <si>
    <t>United States. -- Native American Graves Protection and Repatriation Act. ; Human remains (Archaeology) -- Repatriation -- Law and legislation -- United States.</t>
  </si>
  <si>
    <t>https://ebookcentral.proquest.com/lib/viva-active/detail.action?docID=3411782</t>
  </si>
  <si>
    <t>The Village Is Like a Wheel : Rethinking Cargos, Family, and Ethnicity in Highland Mexico</t>
  </si>
  <si>
    <t>Magazine, Roger</t>
  </si>
  <si>
    <t>Tepetlaoxtoc (Mexico) - Economic conditions</t>
  </si>
  <si>
    <t>https://ebookcentral.proquest.com/lib/viva-active/detail.action?docID=3411793</t>
  </si>
  <si>
    <t>Toward a Behavioral Ecology of Lithic Technology : Cases from Paleoindian Archaeology</t>
  </si>
  <si>
    <t>Surovell, Todd A.</t>
  </si>
  <si>
    <t>Paleo-Indians -- Great Plains. ; Paleo-Indians -- Rocky Mountains. ; Social archaeology -- Great Plains. ; Social archaeology -- Rocky Mountains. ; Human ecology -- Great Plains -- History. ; Human ecology -- Rocky Mountains -- History. ; Stone implements -- Great Plains.</t>
  </si>
  <si>
    <t>https://ebookcentral.proquest.com/lib/viva-active/detail.action?docID=3411796</t>
  </si>
  <si>
    <t>Revolt : An Archaeological History of Pueblo Resistance and Revitalization in 17th Century New Mexico</t>
  </si>
  <si>
    <t>Liebmann, Matthew</t>
  </si>
  <si>
    <t>Pueblo Revolt, 1680. ; Pueblo Indians -- Colonization. ; Pueblo Indians -- Government relations. ; Pueblo Indians -- Antiquities. ; Social archaeology -- New Mexico. ; Ethnoarchaeology -- New Mexico. ; New Mexico -- History -- To 1848.</t>
  </si>
  <si>
    <t>https://ebookcentral.proquest.com/lib/viva-active/detail.action?docID=3411799</t>
  </si>
  <si>
    <t>Cell Traffic : New and Selected Poems</t>
  </si>
  <si>
    <t>Sun Tracks Ser.</t>
  </si>
  <si>
    <t>Erdrich, Heid E.</t>
  </si>
  <si>
    <t>Indians of North America</t>
  </si>
  <si>
    <t>https://ebookcentral.proquest.com/lib/viva-active/detail.action?docID=3411803</t>
  </si>
  <si>
    <t>Red Medicine : Traditional Indigenous Rites of Birthing and Healing</t>
  </si>
  <si>
    <t>Gonzales, Patrisia</t>
  </si>
  <si>
    <t>History; Medicine</t>
  </si>
  <si>
    <t>Birth customs - Mexico</t>
  </si>
  <si>
    <t>https://ebookcentral.proquest.com/lib/viva-active/detail.action?docID=3411815</t>
  </si>
  <si>
    <t>Crafting History in the Northern Plains : A Political Economy of the Heart River Region, 1400-1750</t>
  </si>
  <si>
    <t>Mitchell, Mark D.</t>
  </si>
  <si>
    <t>Heart River Region (N.D.) - Antiquities</t>
  </si>
  <si>
    <t>https://ebookcentral.proquest.com/lib/viva-active/detail.action?docID=3411817</t>
  </si>
  <si>
    <t>Indigenous Agency in the Amazon : The Mojos in Liberal and Rubber-Boom Bolivia, 1842-1932</t>
  </si>
  <si>
    <t>Van Valen, Gary</t>
  </si>
  <si>
    <t>History; Engineering: Manufacturing; Engineering</t>
  </si>
  <si>
    <t>Millennialism - Bolivia - Beni - History</t>
  </si>
  <si>
    <t>https://ebookcentral.proquest.com/lib/viva-active/detail.action?docID=3411819</t>
  </si>
  <si>
    <t>Outside the Hacienda Walls : The Archaeology of Plantation Peonage in Nineteenth-Century Yucatán</t>
  </si>
  <si>
    <t>Meyers, Allan</t>
  </si>
  <si>
    <t>Yucatan (Mexico: State) - Social conditions - 19th century</t>
  </si>
  <si>
    <t>https://ebookcentral.proquest.com/lib/viva-active/detail.action?docID=3411821</t>
  </si>
  <si>
    <t>Native and Spanish New Worlds : Sixteenth-Century Entradas in the American Southwest and Southeast</t>
  </si>
  <si>
    <t>Mathers, Clay;Mitchem, Jeffrey M.;Haecker, Charles M.</t>
  </si>
  <si>
    <t>Indians of North America -- Southwest, New -- History -- 16th century. ; Indians of North America -- Southern States -- History -- 16th century. ; Indians of North America -- First contact with Europeans -- Southwest, New. ; Indians of North America -- First contact with Europeans -- Southern States. ; Southwest, New -- Discovery and exploration -- Spanish. ; Southern States -- Discovery and exploration -- Spanish. ; Spain -- Colonies -- America.</t>
  </si>
  <si>
    <t>https://ebookcentral.proquest.com/lib/viva-active/detail.action?docID=3411822</t>
  </si>
  <si>
    <t>When Worlds Collide : Hunter-Gatherer World-System Change in the 19th Century Canadian Arctic</t>
  </si>
  <si>
    <t>Friesen, T. Max</t>
  </si>
  <si>
    <t>Herschel Island (Yukon) - Social life and customs</t>
  </si>
  <si>
    <t>https://ebookcentral.proquest.com/lib/viva-active/detail.action?docID=3411823</t>
  </si>
  <si>
    <t>Communities of Practice : An Alaskan Native Model for Language Teaching and Learning</t>
  </si>
  <si>
    <t>Marlow, Patrick E.;Siekmann, Sabine</t>
  </si>
  <si>
    <t>Bilingualism in children - Alaska</t>
  </si>
  <si>
    <t>https://ebookcentral.proquest.com/lib/viva-active/detail.action?docID=3411829</t>
  </si>
  <si>
    <t>Women and Ledger Art : Four Contemporary Native American Artists</t>
  </si>
  <si>
    <t>Pearce, Richard</t>
  </si>
  <si>
    <t>Indian women artists - Great Plains</t>
  </si>
  <si>
    <t>https://ebookcentral.proquest.com/lib/viva-active/detail.action?docID=3411830</t>
  </si>
  <si>
    <t>From Enron to Evo : Pipeline Politics, Global Environmentalism, and Indigenous Rights in Bolivia</t>
  </si>
  <si>
    <t>Hindery, Derrick;Hecht, Susanna B.</t>
  </si>
  <si>
    <t>Territorio Indaigena Parque Nacional Isiboro-Saecure (Bolivia) - Social conditions</t>
  </si>
  <si>
    <t>https://ebookcentral.proquest.com/lib/viva-active/detail.action?docID=3411832</t>
  </si>
  <si>
    <t>Therapeutic Nations : Healing in an Age of Indigenous Human Rights</t>
  </si>
  <si>
    <t>Critical Issues in Indigenous Studies</t>
  </si>
  <si>
    <t>Million, Dian</t>
  </si>
  <si>
    <t>SOCIAL SCIENCE / Ethnic Studies / African American Studies</t>
  </si>
  <si>
    <t>https://ebookcentral.proquest.com/lib/viva-active/detail.action?docID=3411836</t>
  </si>
  <si>
    <t>Becoming Brothertown : Native American Ethnogenesis and Endurance in the Modern World</t>
  </si>
  <si>
    <t>Cipolla, Craig N.</t>
  </si>
  <si>
    <t>Brotherton Indians - Migrations</t>
  </si>
  <si>
    <t>https://ebookcentral.proquest.com/lib/viva-active/detail.action?docID=3411837</t>
  </si>
  <si>
    <t>Pueblo Indians and Spanish Colonial Authority in Eighteenth-Century New Mexico</t>
  </si>
  <si>
    <t>Brown, Tracy L.</t>
  </si>
  <si>
    <t>New Mexico - Colonization</t>
  </si>
  <si>
    <t>https://ebookcentral.proquest.com/lib/viva-active/detail.action?docID=3411838</t>
  </si>
  <si>
    <t>Telling and Being Told : Storytelling and Cultural Control in Contemporary Yucatec Maya Literatures</t>
  </si>
  <si>
    <t>Worley, Paul M.</t>
  </si>
  <si>
    <t>Storytelling - Mexico - Yucataan (State)</t>
  </si>
  <si>
    <t>https://ebookcentral.proquest.com/lib/viva-active/detail.action?docID=3411839</t>
  </si>
  <si>
    <t>Yakama Rising : Indigenous Cultural Revitalization, Activism, and Healing</t>
  </si>
  <si>
    <t>Jacob, Michelle M.</t>
  </si>
  <si>
    <t>Yakama Indians -- Social conditions. ; Yakama Indians -- Politics and government. ; Yakama Indians -- Ethnic identity. ; Postcolonialism -- Washington (State) -- Yakama Indian Reservation. ; Social change -- Washington (State) -- Yakama Indian Reservation. ; Yakama Indian Reservation (Wash.) -- History. ; Yakama Indian Reservation (Wash.) -- Race relations.</t>
  </si>
  <si>
    <t>https://ebookcentral.proquest.com/lib/viva-active/detail.action?docID=3411844</t>
  </si>
  <si>
    <t>Where the Wind Blows Us : Practicing Critical Community Archaeology in the Canadian North</t>
  </si>
  <si>
    <t>Lyons, Natasha</t>
  </si>
  <si>
    <t>Archaeology - Social aspects - Canada, Northern</t>
  </si>
  <si>
    <t>https://ebookcentral.proquest.com/lib/viva-active/detail.action?docID=3411846</t>
  </si>
  <si>
    <t>Walking the Land, Feeding the Fire : Knowledge and Stewardship among the Tlicho Dene</t>
  </si>
  <si>
    <t>Legat, Allice;Barnaby, Joanne</t>
  </si>
  <si>
    <t>Dogrib Indians - Northwest Territories - Gamaetai - Social life and customs</t>
  </si>
  <si>
    <t>https://ebookcentral.proquest.com/lib/viva-active/detail.action?docID=3411847</t>
  </si>
  <si>
    <t>Buried in Shades of Night : Contested Voices, Indian Captivity, and the Legacy of King Philip's War</t>
  </si>
  <si>
    <t>Stratton, Billy J.;Washburn, Frances;Tinker, George E.</t>
  </si>
  <si>
    <t>Indians in literature - History and criticism</t>
  </si>
  <si>
    <t>https://ebookcentral.proquest.com/lib/viva-active/detail.action?docID=3411848</t>
  </si>
  <si>
    <t>Indian Resilience and Rebuilding : Indigenous Nations in the Modern American West</t>
  </si>
  <si>
    <t>The Modern American West Ser.</t>
  </si>
  <si>
    <t>Self-determination, National - United States</t>
  </si>
  <si>
    <t>https://ebookcentral.proquest.com/lib/viva-active/detail.action?docID=3411853</t>
  </si>
  <si>
    <t>Knowing the Day, Knowing the World : Engaging Amerindian Thought in Public Archaeology</t>
  </si>
  <si>
    <t>Green, Lesley;Green, David R.</t>
  </si>
  <si>
    <t>Amapaa (Brazil: State) - Antiquities</t>
  </si>
  <si>
    <t>https://ebookcentral.proquest.com/lib/viva-active/detail.action?docID=3411857</t>
  </si>
  <si>
    <t>Indigenous Landscapes and Spanish Missions : New Perspectives from Archaeology and Ethnohistory</t>
  </si>
  <si>
    <t xml:space="preserve">Panich, Lee;Schneider, Tsim D.;Bernard, Julienne ;Blair, Elliot H ;Boyer, Willet A , III;Farris, Glenn J </t>
  </si>
  <si>
    <t>SOCIAL SCIENCE / Ethnic Studies / Native American Studies</t>
  </si>
  <si>
    <t>https://ebookcentral.proquest.com/lib/viva-active/detail.action?docID=3411876</t>
  </si>
  <si>
    <t>A Passion for the True and Just : Felix and Lucy Kramer Cohen and the Indian New Deal</t>
  </si>
  <si>
    <t>Kehoe, Alice Beck</t>
  </si>
  <si>
    <t>HISTORY / United States / 20th Century</t>
  </si>
  <si>
    <t>https://ebookcentral.proquest.com/lib/viva-active/detail.action?docID=3411880</t>
  </si>
  <si>
    <t>Diné Perspectives : Revitalizing and Reclaiming Navajo Thought</t>
  </si>
  <si>
    <t>Lee, Lloyd L.;Cajete, Gregory</t>
  </si>
  <si>
    <t>Navajo Indians - Historiography</t>
  </si>
  <si>
    <t>https://ebookcentral.proquest.com/lib/viva-active/detail.action?docID=3411886</t>
  </si>
  <si>
    <t>The Learned Ones : Nahua Intellectuals in Postconquest Mexico</t>
  </si>
  <si>
    <t>McDonough, Kelly S.</t>
  </si>
  <si>
    <t>Nahuas - Mexico - History</t>
  </si>
  <si>
    <t>https://ebookcentral.proquest.com/lib/viva-active/detail.action?docID=3411887</t>
  </si>
  <si>
    <t>Indigenous Peoples, National Parks, and Protected Areas : A New Paradigm Linking Conservation, Culture, and Rights</t>
  </si>
  <si>
    <t>Stevens, Stan</t>
  </si>
  <si>
    <t>Environmental Studies; Economics</t>
  </si>
  <si>
    <t>NATURE / Environmental Conservation &amp; Protection</t>
  </si>
  <si>
    <t>https://ebookcentral.proquest.com/lib/viva-active/detail.action?docID=3411888</t>
  </si>
  <si>
    <t>Capture These Indians for the Lord : Indians, Methodists, and Oklahomans, 1844-1939</t>
  </si>
  <si>
    <t>Smith, Tash</t>
  </si>
  <si>
    <t>Methodist Episcopal Church, South - History</t>
  </si>
  <si>
    <t>https://ebookcentral.proquest.com/lib/viva-active/detail.action?docID=3411890</t>
  </si>
  <si>
    <t>Searching for Golden Empires : Epic Cultural Collisions in Sixteenth-Century America</t>
  </si>
  <si>
    <t>Hartmann, William K.</t>
  </si>
  <si>
    <t>Cibola, Seven Cities of. ; Spaniards -- America -- History. ; America -- Discovery and exploration -- Spanish. ; Mexico -- Discovery and exploration -- Spanish. ; West (U.S.) -- Discovery and exploration -- Spanish.</t>
  </si>
  <si>
    <t>https://ebookcentral.proquest.com/lib/viva-active/detail.action?docID=3411891</t>
  </si>
  <si>
    <t>Our Sacred Maíz Is Our Mother : Indigeneity and Belonging in the Americas</t>
  </si>
  <si>
    <t>Rodríguez, Roberto Cintli;Rodríguez, Roberto Cintli</t>
  </si>
  <si>
    <t>Corn - Social aspects - Four Corners Region</t>
  </si>
  <si>
    <t>https://ebookcentral.proquest.com/lib/viva-active/detail.action?docID=3411892</t>
  </si>
  <si>
    <t>Creating Aztlán : Chicano Art, Indigenous Sovereignty, and Lowriding Across Turtle Island</t>
  </si>
  <si>
    <t>Miner, Dylan A. T.</t>
  </si>
  <si>
    <t>Colonization in art</t>
  </si>
  <si>
    <t>https://ebookcentral.proquest.com/lib/viva-active/detail.action?docID=3411893</t>
  </si>
  <si>
    <t>Constructing Community : The Archaeology of Early Villages in Central New Mexico</t>
  </si>
  <si>
    <t>Rautman, Alison E.</t>
  </si>
  <si>
    <t>Social archaeology - New Mexico - Salinas Pueblo Missions National Monument Region</t>
  </si>
  <si>
    <t>https://ebookcentral.proquest.com/lib/viva-active/detail.action?docID=3411903</t>
  </si>
  <si>
    <t>Chaco Revisited : New Research on the Prehistory of Chaco Canyon, New Mexico</t>
  </si>
  <si>
    <t>Heitman, Carrie C.;Plog, Stephen</t>
  </si>
  <si>
    <t>Chaco culture -- New Mexico -- Chaco Canyon. ; Chaco Canyon (N.M.) -- Antiquities.</t>
  </si>
  <si>
    <t>https://ebookcentral.proquest.com/lib/viva-active/detail.action?docID=3411923</t>
  </si>
  <si>
    <t>Living with the Dead in the Andes</t>
  </si>
  <si>
    <t>Shimada, Izumi;Fitzsimmons, James L.</t>
  </si>
  <si>
    <t>Indians of South America - Funeral customs and rites - Peru</t>
  </si>
  <si>
    <t>https://ebookcentral.proquest.com/lib/viva-active/detail.action?docID=3411925</t>
  </si>
  <si>
    <t>Universities and Indian Country : Case Studies in Tribal-Driven Research</t>
  </si>
  <si>
    <t>Norman, Dennis K.;Kalt, Joseph P.</t>
  </si>
  <si>
    <t>Ethnology - United States - Methodology</t>
  </si>
  <si>
    <t>https://ebookcentral.proquest.com/lib/viva-active/detail.action?docID=3411926</t>
  </si>
  <si>
    <t>Native Studies Keywords</t>
  </si>
  <si>
    <t>Teves, Stephanie Nohelani;Smith, Andrea;Raheja, Michelle</t>
  </si>
  <si>
    <t>Anthropological linguistics -- North America. ; Indians of North America -- Study and teaching -- Terminology.</t>
  </si>
  <si>
    <t>https://ebookcentral.proquest.com/lib/viva-active/detail.action?docID=3411930</t>
  </si>
  <si>
    <t>Tales of Ghosts : First Nations Art in British Columbia, 1922-61</t>
  </si>
  <si>
    <t>UBC Press</t>
  </si>
  <si>
    <t>Hawker, Ronald W.</t>
  </si>
  <si>
    <t>Indian art -- North America. ; Indian art -- British Columbia -- History. ; Indian art -- Political aspects -- British Columbia.</t>
  </si>
  <si>
    <t>https://ebookcentral.proquest.com/lib/viva-active/detail.action?docID=3411999</t>
  </si>
  <si>
    <t>Our Box Was Full : An Ethnography for the Delgamuukw Plaintiffs</t>
  </si>
  <si>
    <t>Daly, Richard</t>
  </si>
  <si>
    <t>Gitksan Indians -- Economic conditions. ; Wet''suwet''en Indians -- Economic conditions. ; Gitksan Indians -- Land tenure. ; Wet''suwet''en Indians -- Land tenure.</t>
  </si>
  <si>
    <t>https://ebookcentral.proquest.com/lib/viva-active/detail.action?docID=3412027</t>
  </si>
  <si>
    <t>The Red Man's on the Warpath : The Image of the "Indian" and the Second World War</t>
  </si>
  <si>
    <t>Sheffield, R. Scott</t>
  </si>
  <si>
    <t>World War, 1939-1945 -- Participation, Indian. ; World War, 1939-1945 -- Indians. ; Indians of North America -- Canada -- Public opinion -- History -- 20th century. ; Stereotypes (Social psychology) ; Public opinion -- Canada -- History -- 20th century.</t>
  </si>
  <si>
    <t>https://ebookcentral.proquest.com/lib/viva-active/detail.action?docID=3412028</t>
  </si>
  <si>
    <t>Between Justice and Certainty : Treaty Making in British Columbia</t>
  </si>
  <si>
    <t>Woolford, Andrew</t>
  </si>
  <si>
    <t>Indians of North America -- British Columbia -- Treaties. ; Indians of North America -- British Columbia -- Government relations. ; Indians of North America -- Legal status, laws, etc. -- British Columbia.</t>
  </si>
  <si>
    <t>https://ebookcentral.proquest.com/lib/viva-active/detail.action?docID=3412031</t>
  </si>
  <si>
    <t>First Nations Sacred Sites in Canada's Courts</t>
  </si>
  <si>
    <t>Ross, Michael Lee</t>
  </si>
  <si>
    <t>Indians of North America -- Legal status, laws, etc. -- Canada. ; Indians of North America -- Land tenure -- Canada. ; Indians of North America -- Canada -- Claims.</t>
  </si>
  <si>
    <t>https://ebookcentral.proquest.com/lib/viva-active/detail.action?docID=3412047</t>
  </si>
  <si>
    <t>Musqueam Reference Grammar</t>
  </si>
  <si>
    <t>First Nations Languages Series</t>
  </si>
  <si>
    <t>Suttles, Wayne</t>
  </si>
  <si>
    <t>Salishan languages -- Dialects. ; Salishan languages -- Grammar. ; Langues salish -- Dialectes -- Grammaire.</t>
  </si>
  <si>
    <t>https://ebookcentral.proquest.com/lib/viva-active/detail.action?docID=3412068</t>
  </si>
  <si>
    <t>A Voyage to the North West Side of America : The Journals of James Colnett, 1786-89</t>
  </si>
  <si>
    <t>Galois, Robert;Galois, Robert</t>
  </si>
  <si>
    <t>Colnett, James, -- 1755?-1806 -- Diaries. ; Colnett, James, -- 1755-1806 -- Journal intime. ; Explorers -- Northwest Coast of North America -- Diaries. ; Explorers -- Great Britain -- Diaries. ; Indians of North America -- First contact with Europeans -- British Columbia -- Pacific Coast. ; Indiens d''Amérique -- Premiers contacts avec les Européens -- Colombie-Britannique -- Pacifique, Côte du. ; Fourrures -- Commerce -- Colombie-Britannique -- Pacifique, Côte du -- Histoire -- 18e siècle.</t>
  </si>
  <si>
    <t>https://ebookcentral.proquest.com/lib/viva-active/detail.action?docID=3412089</t>
  </si>
  <si>
    <t>Emerging from the Mist : Studies in Northwest Coast Culture History</t>
  </si>
  <si>
    <t>Pacific Rim Archaeology Series</t>
  </si>
  <si>
    <t>Mackie, Quentin;Coupland, Gary;Matson, R.G.</t>
  </si>
  <si>
    <t>Indians of North America -- Northwest Coast of North America -- Antiquities. ; Indians of North America -- Material culture -- Northwest Coast of North America. ; Northwest Coast of North America -- Antiquities.</t>
  </si>
  <si>
    <t>https://ebookcentral.proquest.com/lib/viva-active/detail.action?docID=3412108</t>
  </si>
  <si>
    <t>Contact Zones : Aboriginal and Settler Women in Canada's Colonial Past</t>
  </si>
  <si>
    <t>Rutherdale, Myra;Pickles, Katie</t>
  </si>
  <si>
    <t>Indian women -- Canada -- Social conditions -- 19th century. ; Indian women -- Canada -- Social conditions -- 20th century. ; Women pioneers -- Canada -- Social conditions -- 19th century. ; Women pioneers -- Canada -- Social conditions -- 20th century. ; Indiennes d''Amérique -- Canada -- Conditions sociales -- 19e siècle. ; Indiennes d''Amérique -- Canada -- Conditions sociales -- 20e siècle.</t>
  </si>
  <si>
    <t>https://ebookcentral.proquest.com/lib/viva-active/detail.action?docID=3412111</t>
  </si>
  <si>
    <t>Global Biopiracy : Patents, Plants, and Indigenous Knowledge</t>
  </si>
  <si>
    <t>Mgbeoji, Ikechi</t>
  </si>
  <si>
    <t>Patents (International law) ; Plants, Cultivated -- Patents. ; Traditional ecological knowledge. ; Plant biotechnology -- Patents. ; Eurocentrism. ; Biodiversity.</t>
  </si>
  <si>
    <t>https://ebookcentral.proquest.com/lib/viva-active/detail.action?docID=3412122</t>
  </si>
  <si>
    <t>Aboriginal Conditions : Research As a Foundation for Public Policy</t>
  </si>
  <si>
    <t xml:space="preserve">White, Jerry P.;Maxim, Paul S.;Beavon, Dan </t>
  </si>
  <si>
    <t>Indians of North America -- Canada -- Social conditions. ; Indians of North America -- Government relations -- Canada. ; Canada -- Social policy. ; Canada -- Politics and government.</t>
  </si>
  <si>
    <t>https://ebookcentral.proquest.com/lib/viva-active/detail.action?docID=3412147</t>
  </si>
  <si>
    <t>First Nations of British Columbia : An Anthropological Survey</t>
  </si>
  <si>
    <t>Muckle, Robert J.</t>
  </si>
  <si>
    <t>Indians of North America -- British Columbia. ; Indians of North America -- History.</t>
  </si>
  <si>
    <t>https://ebookcentral.proquest.com/lib/viva-active/detail.action?docID=3412184</t>
  </si>
  <si>
    <t>Haida Gwaii : Human History and Environment from the Time of Loon to the Time of the Iron People</t>
  </si>
  <si>
    <t>Fedje, Daryl W.;Mathewes, Rolf</t>
  </si>
  <si>
    <t>Science; History; Science: Geology</t>
  </si>
  <si>
    <t>Paleoecology -- British Columbia -- Haida Gwaii. ; Haida Indians -- History. ; Haida Gwaii (B.C.) -- Antiquities. ; Haida Gwaii (B.C.) -- History.</t>
  </si>
  <si>
    <t>https://ebookcentral.proquest.com/lib/viva-active/detail.action?docID=3412213</t>
  </si>
  <si>
    <t>Northern Exposures : Photographing and Filming the Canadian North, 1920-45</t>
  </si>
  <si>
    <t>Geller, Peter</t>
  </si>
  <si>
    <t>Inuit -- Canada -- Pictorial works -- History. ; Inuit in motion pictures -- History. ; Visual communication -- Social aspects -- Canada -- History -- 20th century. ; Documentary photography -- Canada, Northern -- History. ; Photography -- Canada, Northern -- History. ; Motion pictures -- Canada, Northern -- History. ; Canada, Northern -- History -- Pictorial works.</t>
  </si>
  <si>
    <t>https://ebookcentral.proquest.com/lib/viva-active/detail.action?docID=3412251</t>
  </si>
  <si>
    <t>With Good Intentions : Euro-Canadian and Aboriginal Relations in Colonial Canada</t>
  </si>
  <si>
    <t xml:space="preserve">Haig-Brown, Celia;Nock, David A. </t>
  </si>
  <si>
    <t>Whites -- Canada -- Relations with Indians -- History. ; Colonization -- History. ; Racism -- Canada -- History. ; Europeans -- Canada -- History. ; Canada -- Race relations -- History.</t>
  </si>
  <si>
    <t>https://ebookcentral.proquest.com/lib/viva-active/detail.action?docID=3412307</t>
  </si>
  <si>
    <t>Hunters at the Margin : Native People and Wildlife Conservation in the Northwest Territories</t>
  </si>
  <si>
    <t>Nature/History/Society</t>
  </si>
  <si>
    <t>Sandlos, John</t>
  </si>
  <si>
    <t>Science; Environmental Studies; Economics; Science: Zoology</t>
  </si>
  <si>
    <t>Wildlife conservation -- Northwest Territories -- History -- 20th century. ; Wildlife conservation -- Government policy -- Canada -- History -- 20th century. ; Subsistence hunting -- Northwest Territories -- History -- 20th century. ; Big game hunting -- Northwest Territories -- History -- 20th century.</t>
  </si>
  <si>
    <t>https://ebookcentral.proquest.com/lib/viva-active/detail.action?docID=3412386</t>
  </si>
  <si>
    <t>The Archive of Place : Unearthing the Pasts of the Chilcotin Plateau</t>
  </si>
  <si>
    <t>Nature | History | Society Series</t>
  </si>
  <si>
    <t>Turkel, William</t>
  </si>
  <si>
    <t>Indians of North America -- British Columbia -- Chilcotin Plateau -- History. ; Human ecology -- British Columbia -- Chilcotin Plateau -- History. ; Material culture -- British Columbia -- Chilcotin Plateau. ; Human ecology -- British Columbia -- History -- Case studies. ; Ethnohistory -- British Columbia -- Case studies. ; Chilcotin Indians -- Wars -- British Columbia. ; Écologie humaine -- Colombie-Britannique -- Chilcotin, Plateau -- Histoire.</t>
  </si>
  <si>
    <t>https://ebookcentral.proquest.com/lib/viva-active/detail.action?docID=3412388</t>
  </si>
  <si>
    <t>Reshaping the University : Responsibility, Indigenous Epistemes, and the Logic of the Gift</t>
  </si>
  <si>
    <t>Kuokkanen, Rauna</t>
  </si>
  <si>
    <t>Education, Higher -- Philosophy. ; Education, Higher -- Aims and objectives. ; Education, Humanistic. ; Indigenous peoples -- Education (Higher) ; Ethnophilosophy. ; Discrimination in higher education.</t>
  </si>
  <si>
    <t>https://ebookcentral.proquest.com/lib/viva-active/detail.action?docID=3412395</t>
  </si>
  <si>
    <t>Myth and Memory : Stories of Indigenous-European Contact</t>
  </si>
  <si>
    <t xml:space="preserve">Lutz, John Sutton;Binney, Judith ;Carlson, Keith Thor ;Chamberlin, J. Edward ;Dauenhauer, Nora Marks ;Dauenhauer, Richard ;Harkin, Michael E. ;Maclaren, I. S. ;Moore, Patrick ;Wickwire, Wendy </t>
  </si>
  <si>
    <t>Indians of North America -- First contact with Europeans. ; Indians of North America -- Historiography. ; Indian mythology -- North America. ; Autochtones -- Amérique du Nord. ; Acculturation. ; Mythologie indienne d''Amérique. ; Altérité -- Aspect social.</t>
  </si>
  <si>
    <t>https://ebookcentral.proquest.com/lib/viva-active/detail.action?docID=3412412</t>
  </si>
  <si>
    <t>Battle Grounds : The Canadian Military and Aboriginal Lands</t>
  </si>
  <si>
    <t>Studies in Canadian Military History</t>
  </si>
  <si>
    <t>Lackenbauer, P. Whitney</t>
  </si>
  <si>
    <t>Indians of North America -- Land tenure -- Canada. ; Indians of North America -- Canada -- Government relations. ; Indians of North America -- Canada -- Claims. ; Canada -- History, Military.</t>
  </si>
  <si>
    <t>https://ebookcentral.proquest.com/lib/viva-active/detail.action?docID=3412414</t>
  </si>
  <si>
    <t>Kiumajut (Talking Back) : Game Management and Inuit Rights, 1900-70</t>
  </si>
  <si>
    <t>Kulchyski, Peter;Tester, Frank James</t>
  </si>
  <si>
    <t>Inuit -- Hunting -- Canada -- History -- 20th century. ; Inuit -- Canada -- Government relations. ; Wildlife management -- Government policy -- Canada, Northern -- History. ; Hunting -- Government policy -- Canada, Northern -- History. ; Wildlife management -- Canada, Northern -- History. ; Community development -- Canada, Northern -- History -- 20th century. ; Wildlife research -- Canada, Northern -- History -- 20th century.</t>
  </si>
  <si>
    <t>https://ebookcentral.proquest.com/lib/viva-active/detail.action?docID=3412420</t>
  </si>
  <si>
    <t>Indigenous Legal Traditions</t>
  </si>
  <si>
    <t>Legal Dimensions</t>
  </si>
  <si>
    <t xml:space="preserve">Law Commission of Canada;Kennedy, Dawnis ;Lajoie, Andree ;Otis, Ghislain ;Palys, Ted ;Victor, Wenona ;Regan, Paulette ;Shawana, Perry </t>
  </si>
  <si>
    <t>Indians of North America -- Legal status, laws, etc. -- Canada. ; Indigenous peoples -- Legal status, laws, etc. -- Canada. ; Indians of North America -- Canada -- Government relations. ; Indigenous peoples -- Canada -- Government relations. ; Indians of North America -- Canada -- Social life and customs. ; Indigenous peoples -- Canada -- Social life and customs. ; Customary law -- Canada.</t>
  </si>
  <si>
    <t>https://ebookcentral.proquest.com/lib/viva-active/detail.action?docID=3412568</t>
  </si>
  <si>
    <t>Let Right Be Done : Aboriginal Title, the Calder Case, and the Future of Indigenous Rights</t>
  </si>
  <si>
    <t>Law and Society Series</t>
  </si>
  <si>
    <t xml:space="preserve">Foster, Hamar;Raven, Heather;Webber, Jeremy </t>
  </si>
  <si>
    <t>Calder, Frank -- Trials, litigation, etc. ; Indians of North America -- Land tenure -- Canada. ; Indians of North America -- Legal status, laws, etc. -- Canada. ; Indians of North America -- Canada -- Claims. ; Indigenous peoples -- Land tenure -- Canada. ; Indigenous peoples -- Legal status, laws, etc. -- Canada. ; Indigenous peoples -- Canada -- Claims.</t>
  </si>
  <si>
    <t>https://ebookcentral.proquest.com/lib/viva-active/detail.action?docID=3412572</t>
  </si>
  <si>
    <t>New Histories for Old : Changing Perspectives on Canada’s Native Pasts</t>
  </si>
  <si>
    <t>Binnema, Theodore;Neylan, Susan</t>
  </si>
  <si>
    <t>Ray, Arthur J. ; Indians of North America -- Canada -- History. ; Indians of North America -- British Columbia -- History.</t>
  </si>
  <si>
    <t>https://ebookcentral.proquest.com/lib/viva-active/detail.action?docID=3412573</t>
  </si>
  <si>
    <t>Navigating Neoliberalism : Self-Determination and the Mikisew Cree First Nation</t>
  </si>
  <si>
    <t>Slowey, Gabrielle</t>
  </si>
  <si>
    <t>Mikisew Cree First Nation. ; Première nation des Mikisew Cree. ; Cree Indians -- Alberta -- Politics and government. ; Cree Indians -- Alberta -- Economic conditions. ; Cree Indians -- Alberta -- Government relations. ; Neoliberalism -- Alberta. ; Self-determination, National -- Canada.</t>
  </si>
  <si>
    <t>https://ebookcentral.proquest.com/lib/viva-active/detail.action?docID=3412575</t>
  </si>
  <si>
    <t>National Visions, National Blindness : Canadian Art and Identities in the 1920s</t>
  </si>
  <si>
    <t>Dawn, Leslie</t>
  </si>
  <si>
    <t>Art, Canadian -- 20th century. ; Indians in art. ; Landscapes in art.</t>
  </si>
  <si>
    <t>https://ebookcentral.proquest.com/lib/viva-active/detail.action?docID=3412579</t>
  </si>
  <si>
    <t>Making Wawa : The Genesis of Chinook Jargon</t>
  </si>
  <si>
    <t>First Nations Language Series</t>
  </si>
  <si>
    <t>Lang, George</t>
  </si>
  <si>
    <t>Chinook jargon -- History. ; Indians of North America -- Northwest, Pacific -- History. ; Whites -- Northwest, Pacific -- Relations with Indians -- History.</t>
  </si>
  <si>
    <t>https://ebookcentral.proquest.com/lib/viva-active/detail.action?docID=3412585</t>
  </si>
  <si>
    <t>Home Is the Hunter : The James Bay Cree and Their Land</t>
  </si>
  <si>
    <t>Nature | History | Society</t>
  </si>
  <si>
    <t>Carlson, Hans M.</t>
  </si>
  <si>
    <t>Cree Indians -- James Bay Region -- History. ; Cree Indians -- Québec (Province) -- Nord-du-Québec -- History. ; Cree Indians -- Hunting -- James Bay Region. ; Cree Indians -- Hunting -- Québec (Province) -- Nord-du-Québec. ; Cultural landscapes -- James Bay Region. ; Cultural landscapes -- Québec (Province) -- Nord-du-Québec. ; Cree Indians -- James Bay Region -- Government relations.</t>
  </si>
  <si>
    <t>https://ebookcentral.proquest.com/lib/viva-active/detail.action?docID=3412593</t>
  </si>
  <si>
    <t>First Nations Cultural Heritage and Law : Case Studies, Voices, and Perspectives</t>
  </si>
  <si>
    <t>Bell, Catherine;Napoleon, Val</t>
  </si>
  <si>
    <t>Law; History</t>
  </si>
  <si>
    <t>Cultural property -- Protection -- Canada -- Case studies. ; Cultural property -- Protection -- Law and legislation -- Canada. ; Cultural property -- Repatriation -- Canada. ; Human remains (Archaeology) -- Repatriation -- Canada. ; Indians of North America -- Legal status, laws, etc. -- Canada. ; Indians of North America -- Land tenure -- Canada. ; Indians of North America -- Material culture -- Canada.</t>
  </si>
  <si>
    <t>https://ebookcentral.proquest.com/lib/viva-active/detail.action?docID=3412620</t>
  </si>
  <si>
    <t>Protection of First Nations Cultural Heritage : Laws, Policy, and Reform</t>
  </si>
  <si>
    <t>Bell, Catherine E.;Paterson, Robert K.</t>
  </si>
  <si>
    <t>Cultural property -- Protection -- Law and legislation -- Canada. ; Cultural property -- Repatriation -- North America. ; Indigenous peoples -- Legal status, laws, etc. -- Canada. ; Autochtones -- Droit -- Canada. ; Autochtones -- Culture matérielle -- Canada. ; Autochtones -- Canada -- Vie intellectuelle. ; Biens culturels -- Protection -- Droit -- Canada.</t>
  </si>
  <si>
    <t>https://ebookcentral.proquest.com/lib/viva-active/detail.action?docID=3412621</t>
  </si>
  <si>
    <t>The Many Voyages of Arthur Wellington Clah : A Tsimshian Man on the Pacific Northwest Coast</t>
  </si>
  <si>
    <t>Brock, Peggy</t>
  </si>
  <si>
    <t>Clah, Arthur Wellington, -- 1831-1916. ; Clah, Arthur Wellington, -- 1831-1916 -- Diaries. ; Clah, Arthur Wellington, -- 1831-1916 -- Travel -- Northwest Coast of North America. ; Tsimshian Indians -- British Columbia -- Government relations. ; Tsimshian Indians -- Biography.</t>
  </si>
  <si>
    <t>https://ebookcentral.proquest.com/lib/viva-active/detail.action?docID=3412690</t>
  </si>
  <si>
    <t>An Ethic of Mutual Respect : The Covenant Chain and Aboriginal-Crown Relations</t>
  </si>
  <si>
    <t>Morito, Bruce</t>
  </si>
  <si>
    <t>Indians of North America -- Government relations -- To 1789. ; Iroquois Indians -- Government relations.</t>
  </si>
  <si>
    <t>https://ebookcentral.proquest.com/lib/viva-active/detail.action?docID=3412807</t>
  </si>
  <si>
    <t>Hunger, Horses, and Government Men : Criminal Law on the Aboriginal Plains, 1870-1905</t>
  </si>
  <si>
    <t>Gavigan, Shelley A.M.</t>
  </si>
  <si>
    <t>Indians of North America -- Criminal justice system -- Saskatchewan -- History. ; Criminal law -- Saskatchewan -- History. ; Criminal courts -- Saskatchewan -- History. ; Criminal justice, Administration of -- Saskatchewan -- History.</t>
  </si>
  <si>
    <t>https://ebookcentral.proquest.com/lib/viva-active/detail.action?docID=3412819</t>
  </si>
  <si>
    <t>Aboriginal Justice and the Charter : Realizing a Culturally Sensitive Interpretation of Legal Rights</t>
  </si>
  <si>
    <t>Milward, David</t>
  </si>
  <si>
    <t>Canada. -- Canadian Charter of Rights and Freedoms. ; Indigenous peoples -- Legal status, laws, etc. -- Canada.</t>
  </si>
  <si>
    <t>https://ebookcentral.proquest.com/lib/viva-active/detail.action?docID=3412823</t>
  </si>
  <si>
    <t>To Right Historical Wrongs : Race, Gender, and Sentencing in Canada</t>
  </si>
  <si>
    <t>Murdocca, Carmela</t>
  </si>
  <si>
    <t>Discrimination in criminal justice administration -- Canada. ; Prison sentences -- Canada.</t>
  </si>
  <si>
    <t>https://ebookcentral.proquest.com/lib/viva-active/detail.action?docID=3412878</t>
  </si>
  <si>
    <t>No need of a chief for this band : The Maritime Mi'kmaq and Federal Electoral Legislation, 1899-1951</t>
  </si>
  <si>
    <t>Walls, Martha Elizabeth</t>
  </si>
  <si>
    <t>Micmac Indians -- Legal status, laws, etc. ; Micmac Indians -- Politics and government. ; Micmac Indians -- Government relations. ; Election law -- Canada.</t>
  </si>
  <si>
    <t>https://ebookcentral.proquest.com/lib/viva-active/detail.action?docID=3412896</t>
  </si>
  <si>
    <t>Between Consenting Peoples : Political Community and the Meaning of Consent</t>
  </si>
  <si>
    <t>Webber, Jeremy;Macleod, Colin M.</t>
  </si>
  <si>
    <t>Political Science; Law</t>
  </si>
  <si>
    <t>Consent (Law) -- Congresses. ; Consensus (Social sciences) -- Congresses. ; Legitimacy of governments -- Congresses. ; Indigenous peoples -- Legal status, laws, etc. -- Congresses. ; Indians of North America -- Canada -- Government relations -- Congresses.</t>
  </si>
  <si>
    <t>https://ebookcentral.proquest.com/lib/viva-active/detail.action?docID=3412897</t>
  </si>
  <si>
    <t>Taking Medicine : Women's Healing Work and Colonial Contact in Southern Alberta, 1880-1930</t>
  </si>
  <si>
    <t>Women and Indigenous Studies Series</t>
  </si>
  <si>
    <t>Burnett, Kristin</t>
  </si>
  <si>
    <t>Medical care. ; Women -- Health and hygiene. ; Women''s health services. ; Alberta.</t>
  </si>
  <si>
    <t>https://ebookcentral.proquest.com/lib/viva-active/detail.action?docID=3412903</t>
  </si>
  <si>
    <t>Aboriginal Title and Indigenous Peoples : Canada, Australia, and New Zealand</t>
  </si>
  <si>
    <t>Knafla, Louis A.;Westra, Haijo</t>
  </si>
  <si>
    <t>Indigenous peoples -- Legal status, laws, etc. ; Native title (Australia) ; Indian title -- Canada.</t>
  </si>
  <si>
    <t>https://ebookcentral.proquest.com/lib/viva-active/detail.action?docID=3412910</t>
  </si>
  <si>
    <t>Becoming Mapuche : Person and Ritual in Indigenous Chile</t>
  </si>
  <si>
    <t>University of Illinois Press</t>
  </si>
  <si>
    <t>Interp Culture New Millennium Ser.</t>
  </si>
  <si>
    <t>Course, Magnus</t>
  </si>
  <si>
    <t>Mapuche Indians - Cultural assimilation</t>
  </si>
  <si>
    <t>https://ebookcentral.proquest.com/lib/viva-active/detail.action?docID=3413833</t>
  </si>
  <si>
    <t>Music of the First Nations : Tradition and Innovation in Native North America</t>
  </si>
  <si>
    <t>Music in American Life Ser.</t>
  </si>
  <si>
    <t>Browner, Tara</t>
  </si>
  <si>
    <t>Ethnomusicology - United States - History</t>
  </si>
  <si>
    <t>https://ebookcentral.proquest.com/lib/viva-active/detail.action?docID=3413835</t>
  </si>
  <si>
    <t>Reinventing the People : The Progressive Movement, the Class Problem, and the Origins of Modern Liberalism</t>
  </si>
  <si>
    <t>Working Class in American History Ser.</t>
  </si>
  <si>
    <t>Stromquist, Shelton</t>
  </si>
  <si>
    <t>Working class -- Political activity -- United States. ; Social reformers -- United States. ; Social classes -- United States. ; Progressivism (United States politics)</t>
  </si>
  <si>
    <t>https://ebookcentral.proquest.com/lib/viva-active/detail.action?docID=3413965</t>
  </si>
  <si>
    <t>The Ecology of the Spoken Word : Amazonian Storytelling and the Shamanism among the Napo Runa</t>
  </si>
  <si>
    <t>Uzendoski, Michael;Calapucha-Tapuy, Edith Felicia</t>
  </si>
  <si>
    <t>Shamanism - Napo River Valley (Ecuador and Peru)</t>
  </si>
  <si>
    <t>https://ebookcentral.proquest.com/lib/viva-active/detail.action?docID=3413972</t>
  </si>
  <si>
    <t>The American Discovery of Europe</t>
  </si>
  <si>
    <t>Forbes, Jack D.</t>
  </si>
  <si>
    <t>Europe - Discovery and exploration</t>
  </si>
  <si>
    <t>https://ebookcentral.proquest.com/lib/viva-active/detail.action?docID=3413999</t>
  </si>
  <si>
    <t>Making Space on the Western Frontier : Mormons, Miners, and Southern Paiutes</t>
  </si>
  <si>
    <t>Reeve, W. Paul</t>
  </si>
  <si>
    <t>Intercultural communication - West (U.S.) - History - 19th century</t>
  </si>
  <si>
    <t>https://ebookcentral.proquest.com/lib/viva-active/detail.action?docID=3414001</t>
  </si>
  <si>
    <t>Made from Bone : Trickster Myths, Music, and History from the Amazon</t>
  </si>
  <si>
    <t>Hill, Jonathan D.</t>
  </si>
  <si>
    <t>Tricksters - Venezuela</t>
  </si>
  <si>
    <t>https://ebookcentral.proquest.com/lib/viva-active/detail.action?docID=3414025</t>
  </si>
  <si>
    <t>Comparative Arawakan Histories : Rethinking Language Family and Culture Area in Amazonia</t>
  </si>
  <si>
    <t>Hill, Jonathan D.;Santos-Granero, Fernando</t>
  </si>
  <si>
    <t>Arawakan Indians -- Congresses. ; Arawakan languages -- Congresses.</t>
  </si>
  <si>
    <t>https://ebookcentral.proquest.com/lib/viva-active/detail.action?docID=3414063</t>
  </si>
  <si>
    <t>Benjamin Franklin, Pennsylvania, and the First Nations : The Treaties Of 1736-62</t>
  </si>
  <si>
    <t>Kalter, Susan</t>
  </si>
  <si>
    <t>Indians of North America - Legal status, laws, etc - Pennsylvania</t>
  </si>
  <si>
    <t>https://ebookcentral.proquest.com/lib/viva-active/detail.action?docID=3414068</t>
  </si>
  <si>
    <t>Indigenous Women and Work : From Labor to Activism</t>
  </si>
  <si>
    <t>Williams, Carol</t>
  </si>
  <si>
    <t>Social Science; Economics</t>
  </si>
  <si>
    <t>Indigenous women - Employment</t>
  </si>
  <si>
    <t>https://ebookcentral.proquest.com/lib/viva-active/detail.action?docID=3414145</t>
  </si>
  <si>
    <t>Maya Market Women : Power and Tradition in San Juan Chamelco, Guatemala</t>
  </si>
  <si>
    <t>Kistler, S. Ashley</t>
  </si>
  <si>
    <t>San Juan Chamelco (Guatemala) - Social life and customs</t>
  </si>
  <si>
    <t>https://ebookcentral.proquest.com/lib/viva-active/detail.action?docID=3414360</t>
  </si>
  <si>
    <t>Victims and Warriors : Violence, History, and Memory in Amazonia</t>
  </si>
  <si>
    <t>High, Casey</t>
  </si>
  <si>
    <t>Ethnic relations - Ecuador</t>
  </si>
  <si>
    <t>https://ebookcentral.proquest.com/lib/viva-active/detail.action?docID=3414441</t>
  </si>
  <si>
    <t>Whispers of the Ancients : Native Tales for Teaching and Healing in Our Time</t>
  </si>
  <si>
    <t>University of Michigan Press</t>
  </si>
  <si>
    <t>Song, Tamarack;Beaver, Moses</t>
  </si>
  <si>
    <t>Ojibwa Indians -- Folklore. ; Tales -- North America.</t>
  </si>
  <si>
    <t>https://ebookcentral.proquest.com/lib/viva-active/detail.action?docID=3414976</t>
  </si>
  <si>
    <t>Aztalan : Mysteries of an Ancient Indian Town</t>
  </si>
  <si>
    <t>Wisconsin Historical Society</t>
  </si>
  <si>
    <t>Birmingham, Robert A.;Goldstein, Lynne</t>
  </si>
  <si>
    <t>Mississippian culture -- Wisconsin -- Aztalan State Park. ; Excavations (Archaeology) -- Wisconsin -- Aztalan State Park. ; Aztalan Mounds (Wis.) ; Aztalan State Park (Wis.)</t>
  </si>
  <si>
    <t>https://ebookcentral.proquest.com/lib/viva-active/detail.action?docID=3417408</t>
  </si>
  <si>
    <t>A Nation Within a Nation : Voices of the Oneidas in Wisconsin</t>
  </si>
  <si>
    <t>Hauptman, Laurence M.;McLester III, L. Gordon</t>
  </si>
  <si>
    <t>Oneida Indians -- Wisconsin -- History -- 20th century. ; Oneida Indians -- Politics and government. ; Indians of North America -- Wisconsin -- History -- 20th century.</t>
  </si>
  <si>
    <t>https://ebookcentral.proquest.com/lib/viva-active/detail.action?docID=3417417</t>
  </si>
  <si>
    <t>Imagining Native America in Music</t>
  </si>
  <si>
    <t>Yale University Press</t>
  </si>
  <si>
    <t>Pisani, Michael V;Bouis, Antonina W.</t>
  </si>
  <si>
    <t>Indians in music. ; Music -- America -- History and criticism. ; Music -- Social aspects -- America. ; Exoticism in music.</t>
  </si>
  <si>
    <t>https://ebookcentral.proquest.com/lib/viva-active/detail.action?docID=3420158</t>
  </si>
  <si>
    <t>Bárbaros : Spaniards and Their Savages in the Age of Enlightenment</t>
  </si>
  <si>
    <t>Weber, David J.</t>
  </si>
  <si>
    <t>Indians -- Colonization. ; Indians -- Missions. ; Indians -- Government relations. ; Spain -- Colonies -- America -- Administration. ; New Spain -- Colonization. ; America -- Discovery and exploration. ; America -- History -- To 1810.</t>
  </si>
  <si>
    <t>https://ebookcentral.proquest.com/lib/viva-active/detail.action?docID=3420228</t>
  </si>
  <si>
    <t>Furs and Frontiers in the Far North : The Contest among Native and Foreign Nations for the Bering Strait Fur Trade</t>
  </si>
  <si>
    <t>Bockstoce, John R.</t>
  </si>
  <si>
    <t>Fur trade -- Bering Strait Region -- History -- 19th century. ; Merchants -- Bering Strait Region -- History -- 19th century. ; Eskimos -- Hunting -- Bering Strait Region -- History -- 19th century. ; Russians -- Bering Strait Region -- History -- 19th century. ; British -- Bering Strait Region -- History -- 19th century. ; Bering Strait Region -- History -- 19th century. ; Alaska -- Commerce -- Russia -- History -- 19th century.</t>
  </si>
  <si>
    <t>https://ebookcentral.proquest.com/lib/viva-active/detail.action?docID=3420473</t>
  </si>
  <si>
    <t>War of a Thousand Deserts: Indian Raids and the U.S.-Mexican War</t>
  </si>
  <si>
    <t>DeLay, Brian</t>
  </si>
  <si>
    <t>Mexican War, 1846-1848 -- Indians. ; Mexican War, 1846-1848 -- Mexican-American Border Region. ; Mexican War, 1846-1848 -- Mexico, North. ; Indians of North America -- Wars -- Mexican-American Border Region. ; Indians of North America -- Wars -- Mexico, North. ; Mexican-American Border Region -- History, Military -- 19th century. ; Mexico, North -- History, Military -- 19th century.</t>
  </si>
  <si>
    <t>https://ebookcentral.proquest.com/lib/viva-active/detail.action?docID=3420505</t>
  </si>
  <si>
    <t>The Spanish Frontier in North America</t>
  </si>
  <si>
    <t>Spaniards -- Southwest, New -- History. ; Spaniards -- Southern States -- History. ; Frontier and pioneer life -- Southwest, New. ; Frontier and pioneer life -- Southern States. ; Southwest, New -- History -- To 1848. ; Southern States -- History -- Colonial period, ca. 1600-1775.</t>
  </si>
  <si>
    <t>https://ebookcentral.proquest.com/lib/viva-active/detail.action?docID=3420585</t>
  </si>
  <si>
    <t>Savages and Scoundrels : The Untold Story of America's Road to Empire through Indian Territory</t>
  </si>
  <si>
    <t>VanDevelder, Paul</t>
  </si>
  <si>
    <t>Indians of North America -- Government relations. ; Indians of North America -- Land tenure. ; United States -- Territorial expansion -- History.</t>
  </si>
  <si>
    <t>https://ebookcentral.proquest.com/lib/viva-active/detail.action?docID=3420607</t>
  </si>
  <si>
    <t>The Comanche Empire</t>
  </si>
  <si>
    <t>Hamalainen (Hämäläinen), Pekka</t>
  </si>
  <si>
    <t>Comanche Indians -- History. ; Comanche Indians -- Government relations. ; United States -- History -- 19th century. ; Mexico -- History -- To 1810.</t>
  </si>
  <si>
    <t>https://ebookcentral.proquest.com/lib/viva-active/detail.action?docID=3420611</t>
  </si>
  <si>
    <t>The Banana Tree at the Gate : A History of Marginal Peoples and Global Markets in Borneo</t>
  </si>
  <si>
    <t>Yale Agrarian Studies</t>
  </si>
  <si>
    <t>Dove, Michael R</t>
  </si>
  <si>
    <t>Marginality, Social -- Borneo -- History. ; Markets -- Social aspects -- Borneo -- History.</t>
  </si>
  <si>
    <t>https://ebookcentral.proquest.com/lib/viva-active/detail.action?docID=3420661</t>
  </si>
  <si>
    <t>From Land to Mouth : The Agricultural Economy of the Wola of the New Guinea Highlands</t>
  </si>
  <si>
    <t>Business/Management; Agriculture; Economics</t>
  </si>
  <si>
    <t>Agriculture -- Economic aspects -- Papua New Guinea. ; Wola (Papua New Guinean people) -- Economic conditions.</t>
  </si>
  <si>
    <t>https://ebookcentral.proquest.com/lib/viva-active/detail.action?docID=3421006</t>
  </si>
  <si>
    <t>Geronimo</t>
  </si>
  <si>
    <t>Yale University Press (Ignition)</t>
  </si>
  <si>
    <t>The Lamar Series in Western History</t>
  </si>
  <si>
    <t>Utley, Robert M.</t>
  </si>
  <si>
    <t>Geronimo, -- 1829-1909. ; Apache Indians -- Kings and rulers -- Biography. ; Apache Indians -- Wars, 1883-1886. ; Apache Indians -- History.</t>
  </si>
  <si>
    <t>https://ebookcentral.proquest.com/lib/viva-active/detail.action?docID=3421092</t>
  </si>
  <si>
    <t>Connecticut's Indigenous Peoples : What Archaeology, History, and Oral Traditions Teach Us about Their Communities and Cultures</t>
  </si>
  <si>
    <t xml:space="preserve">Lavin, Lucianne;Grant-Costa, Paul ;Volpe, Rosemary </t>
  </si>
  <si>
    <t>Indians of North America -- Connecticut -- History. ; Indians of North America -- Connecticut -- Antiquities. ; Indians of North America -- Connecticut -- Folklore. ; Oral tradition -- Connecticut. ; Connecticut -- Antiquities.</t>
  </si>
  <si>
    <t>https://ebookcentral.proquest.com/lib/viva-active/detail.action?docID=3421242</t>
  </si>
  <si>
    <t>Sun Chief : The Autobiography of a Hopi Indian</t>
  </si>
  <si>
    <t>Lamar Series in Western History</t>
  </si>
  <si>
    <t xml:space="preserve">Talayesva, Don C.;Simmons, Leo W.;Gilbert, Matthew Sakiestewa;Hine, Robert V. ;Simmons, Leo W </t>
  </si>
  <si>
    <t>Talayesva, Don C., -- 1890- ; Hopi Indians -- Biography. ; Hopi Indians -- Social life and customs.</t>
  </si>
  <si>
    <t>https://ebookcentral.proquest.com/lib/viva-active/detail.action?docID=3421321</t>
  </si>
  <si>
    <t>Brethren by Nature : New England Indians, Colonists, and the Origins of American Slavery</t>
  </si>
  <si>
    <t>Newell, Margaret Ellen</t>
  </si>
  <si>
    <t>Indian slaves -- New England -- History -- 17th century. ; Indian slaves -- New England -- History -- 18th century. ; Slavery -- New England -- History -- 17th century. ; Slavery -- New England -- History -- 18th century.</t>
  </si>
  <si>
    <t>https://ebookcentral.proquest.com/lib/viva-active/detail.action?docID=3425989</t>
  </si>
  <si>
    <t>Those Who Belong : Identity, Family, Blood, and Citizenship among the White Earth Anishinaabeg</t>
  </si>
  <si>
    <t>Doerfler, Jill</t>
  </si>
  <si>
    <t>Ojibwa</t>
  </si>
  <si>
    <t>https://ebookcentral.proquest.com/lib/viva-active/detail.action?docID=3433750</t>
  </si>
  <si>
    <t>Planning the American Indian Reservation : From Theory to Empowerment</t>
  </si>
  <si>
    <t>Zaferatos, Nicholas Christos;Cladoosby, Brian</t>
  </si>
  <si>
    <t>Tribal government - United States</t>
  </si>
  <si>
    <t>https://ebookcentral.proquest.com/lib/viva-active/detail.action?docID=3440568</t>
  </si>
  <si>
    <t>Beyond Germs : Native Depopulation in North America</t>
  </si>
  <si>
    <t>Cameron, Catherine M.;Kelton, Paul;Swedlund, Alan C.</t>
  </si>
  <si>
    <t>Indians of North America -- Mortality. ; Indians of North America -- Population. ; Indians, Treatment of -- North America. ; Indians of North America -- History. ; Indians of North America -- Social conditions. ; North America -- Ethnic relations.</t>
  </si>
  <si>
    <t>https://ebookcentral.proquest.com/lib/viva-active/detail.action?docID=3440645</t>
  </si>
  <si>
    <t>The World, the Flesh, and the Devil : A History of Colonial St. Louis</t>
  </si>
  <si>
    <t>University of Missouri Press</t>
  </si>
  <si>
    <t>Cleary, Patricia</t>
  </si>
  <si>
    <t>Saint Louis (Mo.) -- History.</t>
  </si>
  <si>
    <t>https://ebookcentral.proquest.com/lib/viva-active/detail.action?docID=3440772</t>
  </si>
  <si>
    <t>The People of the River's Mouth : In Search of the Missouria Indians</t>
  </si>
  <si>
    <t>Missouri Heritage Readers Ser.</t>
  </si>
  <si>
    <t>Dickey, Michael E.</t>
  </si>
  <si>
    <t>Missouri Indians. ; Oto Indians.</t>
  </si>
  <si>
    <t>https://ebookcentral.proquest.com/lib/viva-active/detail.action?docID=3440787</t>
  </si>
  <si>
    <t>Dealer is the Devil : An Insiders History of the Aboriginal Art Trade</t>
  </si>
  <si>
    <t>Brandl &amp; Schlesinger</t>
  </si>
  <si>
    <t>Newstead, Adrian</t>
  </si>
  <si>
    <t>Art, Aboriginal Australian. ; Art, Aboriginal Australian -- History. ; Art, Aboriginal Australian -- 20th century -- Economic aspects. ; Art, Aboriginal Australian -- 21st century -- Economic aspects. ; Art -- Economic aspects.</t>
  </si>
  <si>
    <t>https://ebookcentral.proquest.com/lib/viva-active/detail.action?docID=3440929</t>
  </si>
  <si>
    <t>Dark Emu : Black seeds agriculture or accident?</t>
  </si>
  <si>
    <t>Magabala Books</t>
  </si>
  <si>
    <t>Aboriginal Australians -- Antiquities. ; Aboriginal Australians -- Social life and customs. ; Aboriginal Australians -- Agriculture. ; Land use, Rural -- Australia. ; Hunting and gathering societies -- Australia.</t>
  </si>
  <si>
    <t>https://ebookcentral.proquest.com/lib/viva-active/detail.action?docID=3440933</t>
  </si>
  <si>
    <t>Calling the Shots : Aboriginal Photographies</t>
  </si>
  <si>
    <t>Aboriginal Australians -- Social life and customs -- Pictorial works. ; Aboriginal Australians -- Australia -- History -- Pictorial works. ; Families, Aboriginal Australian -- Pictorial works.</t>
  </si>
  <si>
    <t>https://ebookcentral.proquest.com/lib/viva-active/detail.action?docID=3440935</t>
  </si>
  <si>
    <t>The Xaripu Community Across Borders : Labor Migration, Community, and Family</t>
  </si>
  <si>
    <t>University of Notre Dame Press</t>
  </si>
  <si>
    <t>Latino Perspectives Ser.</t>
  </si>
  <si>
    <t>Barajas, Manuel</t>
  </si>
  <si>
    <t>Foreign workers - California</t>
  </si>
  <si>
    <t>https://ebookcentral.proquest.com/lib/viva-active/detail.action?docID=3440983</t>
  </si>
  <si>
    <t>Pastoral Quechua : The History of Christian Translation in Colonial Peru, 1550-1654</t>
  </si>
  <si>
    <t>History, Languages, and Cultures of the Spanish and Portuguese Worlds Ser.</t>
  </si>
  <si>
    <t>Durston, Alan</t>
  </si>
  <si>
    <t>Peru - History - 1548-1820</t>
  </si>
  <si>
    <t>https://ebookcentral.proquest.com/lib/viva-active/detail.action?docID=3441005</t>
  </si>
  <si>
    <t>Death and Conversion in the Andes : Lima and Cuzco, 1532-1670</t>
  </si>
  <si>
    <t>History, Languages, and Cultures of the Spanish and Portuguese Worlds</t>
  </si>
  <si>
    <t>Ramos, Gabriela</t>
  </si>
  <si>
    <t>Indians of South America -- Peru -- Lima -- Religion. ; Indians of South America -- Peru -- Lima -- Rites and ceremonies. ; Indians of South America -- Peru -- Cuzco -- Religion. ; Indians of South America -- Peru -- Cuzco -- Rites and ceremonies. ; Death -- Religious aspects -- Christianity. ; Conversion -- Christianity. ; Ancestor worship -- Andes Region.</t>
  </si>
  <si>
    <t>https://ebookcentral.proquest.com/lib/viva-active/detail.action?docID=3441038</t>
  </si>
  <si>
    <t>Legendary Hawai'i and the Politics of Place : Tradition, Translation, and Tourism</t>
  </si>
  <si>
    <t>University of Pennsylvania Press</t>
  </si>
  <si>
    <t>Bacchilega, Cristina</t>
  </si>
  <si>
    <t>Legends -- Hawaii -- History and criticism. ; Oral tradition -- Hawaii -- History and criticism. ; Folk literature -- Hawaii -- History and criticism. ; Hawaiians -- Folklore. ; Politics and culture -- Hawaii. ; Culture and tourism -- Hawaii. ; Heritage tourism -- Hawaii.</t>
  </si>
  <si>
    <t>https://ebookcentral.proquest.com/lib/viva-active/detail.action?docID=3441488</t>
  </si>
  <si>
    <t>The Native Ground : Indians and Colonists in the Heart of the Continent</t>
  </si>
  <si>
    <t>Early American Studies</t>
  </si>
  <si>
    <t>DuVal, Kathleen</t>
  </si>
  <si>
    <t>Indians of North America -- Arkansas River Valley -- History. ; Indians of North America -- First contact with Europeans -- Arkansas River Valley. ; Colonists -- Arkansas River Valley -- History. ; Arkansas River Valley -- Ethnic relations. ; Arkansas River Valley -- History.</t>
  </si>
  <si>
    <t>https://ebookcentral.proquest.com/lib/viva-active/detail.action?docID=3441510</t>
  </si>
  <si>
    <t>The Poor Indians : British Missionaries, Native Americans, and Colonial Sensibility</t>
  </si>
  <si>
    <t>Stevens, Laura M.</t>
  </si>
  <si>
    <t>Indians of North America -- Missions. ; Indians of North America -- Public opinion. ; Indians of North America -- History -- Colonial period, ca. 1600-1775. ; Missionaries -- Great Britain -- Attitudes. ; Anglicans -- Missions -- United States -- History. ; Protestants -- Missions -- United States -- History. ; Public opinion -- Great Britain.</t>
  </si>
  <si>
    <t>https://ebookcentral.proquest.com/lib/viva-active/detail.action?docID=3441516</t>
  </si>
  <si>
    <t>A Nation of Women</t>
  </si>
  <si>
    <t>Fur, Gunlog</t>
  </si>
  <si>
    <t>Delaware women -- Social conditions -- 17th century. ; Delaware women -- Social conditions -- 18th century. ; Delaware Indians -- History. ; Delaware Indians -- Social life and customs. ; Sex role -- Middle Atlantic States -- History. ; Middle Atlantic States -- History -- Colonial period, ca. 1600-1775.</t>
  </si>
  <si>
    <t>https://ebookcentral.proquest.com/lib/viva-active/detail.action?docID=3441588</t>
  </si>
  <si>
    <t>Zamumo's Gifts : Indian-European Exchange in the Colonial Southeast</t>
  </si>
  <si>
    <t>Hall, Joseph M., Jr.</t>
  </si>
  <si>
    <t>Europeans -- Commerce -- Southern States -- History -- 17th century. ; Europeans -- Commerce -- Southern States -- History -- 18th century. ; Indians of North America -- Commerce -- Southern States -- History -- 17th century. ; Indians of North America -- Commerce -- Southern States -- History -- 18th century. ; Indians of North America -- First contact with Europeans -- Southern States. ; Indians of North America -- Southern States -- History -- Colonial period, ca. 1600-1775. ; Southern States -- History -- Colonial period, ca. 1600-1775.</t>
  </si>
  <si>
    <t>https://ebookcentral.proquest.com/lib/viva-active/detail.action?docID=3441618</t>
  </si>
  <si>
    <t>Commerce by a Frozen Sea : Native Americans and the European Fur Trade</t>
  </si>
  <si>
    <t>Carlos, Ann M.;Lewis, Frank D.</t>
  </si>
  <si>
    <t>Hudson''s Bay Company -- History. ; Europeans -- Hudson Bay Region -- History. ; Fur trade -- Hudson Bay Region -- History. ; Indians of North America -- Commerce -- Hudson Bay Region -- History. ; Hudson Bay Region -- Commerce -- History. ; Hudson Bay Region -- Ethnic relations.</t>
  </si>
  <si>
    <t>https://ebookcentral.proquest.com/lib/viva-active/detail.action?docID=3441631</t>
  </si>
  <si>
    <t>Seneca Possessed : Indians, Witchcraft, and Power in the Early American Republic</t>
  </si>
  <si>
    <t>Dennis, Matthew</t>
  </si>
  <si>
    <t>Handsome Lake, -- 1735-1815. ; Seneca Indians -- Genesee River Valley (Pa. and N.Y.) -- History -- 19th century. ; Seneca Indians -- Genesee River Valley (Pa. and N.Y.) -- Social life and customs -- 19th century. ; Community life -- Genesee River Valley (Pa. and N.Y.) -- History -- 19th century. ; Social change -- Genesee River Valley (Pa. and N.Y.) -- History -- 19th century. ; Witchcraft -- Genesee River Valley (Pa. and N.Y.) -- History -- 19th century. ; Power (Social sciences) -- Genesee River Valley (Pa. and N.Y.) -- History -- 19th century.</t>
  </si>
  <si>
    <t>https://ebookcentral.proquest.com/lib/viva-active/detail.action?docID=3441665</t>
  </si>
  <si>
    <t>Changing Is Not Vanishing : A Collection of American Indian Poetry To 1930</t>
  </si>
  <si>
    <t>Parker, Robert Dale</t>
  </si>
  <si>
    <t>American poetry -- Indian authors. ; Indians of North America -- Poetry. ; Indian poetry -- Translations into English.</t>
  </si>
  <si>
    <t>https://ebookcentral.proquest.com/lib/viva-active/detail.action?docID=3441693</t>
  </si>
  <si>
    <t>Rainforest Warriors : Human Rights on Trial</t>
  </si>
  <si>
    <t>Pennsylvania Studies in Human Rights Ser.</t>
  </si>
  <si>
    <t>Price, Richard</t>
  </si>
  <si>
    <t>Saramacca (Surinamese people) -- Civil rights. ; Saramacca (Surinamese people) -- Legal status, laws, etc. ; Human rights -- Suriname.</t>
  </si>
  <si>
    <t>https://ebookcentral.proquest.com/lib/viva-active/detail.action?docID=3441769</t>
  </si>
  <si>
    <t>Death by Effigy : A Case from the Mexican Inquisition</t>
  </si>
  <si>
    <t>The Early Modern Americas Ser.</t>
  </si>
  <si>
    <t>Corteguera, Luis R.</t>
  </si>
  <si>
    <t>Inquisition -- Mexico -- Tecamachalco (Puebla) -- History -- 16th century. ; Executions in effigy -- Mexico -- Tecamachalco (Puebla) -- History -- 16th century. ; Trials (Libel) -- Mexico -- Tecamachalco (Puebla) -- History -- 16th century.</t>
  </si>
  <si>
    <t>https://ebookcentral.proquest.com/lib/viva-active/detail.action?docID=3441857</t>
  </si>
  <si>
    <t>Political Gastronomy : Food and Authority in the English Atlantic World</t>
  </si>
  <si>
    <t>LaCombe, Michael A.</t>
  </si>
  <si>
    <t>Food -- Political aspects -- North America -- History. ; Colonists -- North America -- Attitudes. ; Indians of North America -- Food -- Political aspects. ; Indians of North America -- First contact with Europeans. ; North America -- History -- Colonial period, ca. 1600-1775. ; Great Britain -- Colonies -- America -- History -- 17th century. ; Great Britain -- Colonies -- America -- Social conditions.</t>
  </si>
  <si>
    <t>https://ebookcentral.proquest.com/lib/viva-active/detail.action?docID=3441872</t>
  </si>
  <si>
    <t>The Catholic Calumet : Colonial Conversions in French and Indian North America</t>
  </si>
  <si>
    <t>Leavelle, Tracy Neal</t>
  </si>
  <si>
    <t>Jesuits -- Missions -- New France -- History. ; Indians of North America -- Missions -- New France -- History. ; Indians of North America -- New France -- Religion.</t>
  </si>
  <si>
    <t>https://ebookcentral.proquest.com/lib/viva-active/detail.action?docID=3441890</t>
  </si>
  <si>
    <t>Imperial Entanglements : Iroquois Change and Persistence on the Frontiers of Empire</t>
  </si>
  <si>
    <t>MacLeitch, Gail D.</t>
  </si>
  <si>
    <t>Iroquois Indians -- History -- 18th century. ; Iroquois Indians -- Government relations. ; Seven Years'' War, 1756-1763. ; Indians of North America -- History -- Colonial period, ca. 1600-1775. ; British -- North America -- History -- 18th century. ; United States -- History -- Colonial period, ca. 1600-1775.</t>
  </si>
  <si>
    <t>https://ebookcentral.proquest.com/lib/viva-active/detail.action?docID=3441893</t>
  </si>
  <si>
    <t>An Infinity of Nations : How the Native New World Shaped Early North America</t>
  </si>
  <si>
    <t>Witgen, Michael</t>
  </si>
  <si>
    <t>Indians of North America -- Government relations -- To 1789. ; Indians of North America -- Colonization -- History. ; Indians of North America -- Social life and customs. ; North America -- History -- Colonial period, ca. 1600-1775.</t>
  </si>
  <si>
    <t>https://ebookcentral.proquest.com/lib/viva-active/detail.action?docID=3441987</t>
  </si>
  <si>
    <t>English Letters and Indian Literacies : Reading, Writing, and New England Missionary Schools, 1750-1830</t>
  </si>
  <si>
    <t>Haney Foundation Ser.</t>
  </si>
  <si>
    <t>Wyss, Hilary E.</t>
  </si>
  <si>
    <t>Indians of North America -- Education -- New England. ; Indians of North America -- New England -- Intellectual life. ; Indians of North America -- Missions -- New England. ; Written communication -- New England -- History. ; Literacy -- New England -- History.</t>
  </si>
  <si>
    <t>https://ebookcentral.proquest.com/lib/viva-active/detail.action?docID=3441995</t>
  </si>
  <si>
    <t>The Shame and the Sorrow : Dutch-Amerindian Encounters in New Netherland</t>
  </si>
  <si>
    <t>Merwick, Donna</t>
  </si>
  <si>
    <t>Indians of North America -- Wars -- New Netherland. ; Indians of North America -- New Netherland -- History. ; New Netherland -- History. ; New York (State) -- History -- Colonial period, ca. 1600-1775.</t>
  </si>
  <si>
    <t>https://ebookcentral.proquest.com/lib/viva-active/detail.action?docID=3442031</t>
  </si>
  <si>
    <t>Wild Frenchmen and Frenchified Indians : Material Culture and Race in Colonial Louisiana</t>
  </si>
  <si>
    <t>White, Sophie</t>
  </si>
  <si>
    <t>Clothing and dress -- Social aspects -- Louisiana -- History -- 18th century. ; French -- Louisiana -- History -- 18th century. ; Indians of North America -- Louisiana -- History -- 18th century. ; Material culture -- Louisiana -- History -- 18th century. ; Race awareness -- Louisiana -- History -- 18th century. ; Louisiana -- Race relations -- History -- 18th century.</t>
  </si>
  <si>
    <t>https://ebookcentral.proquest.com/lib/viva-active/detail.action?docID=3442041</t>
  </si>
  <si>
    <t>Matter, Magic, and Spirit : Representing Indian and African American Belief</t>
  </si>
  <si>
    <t>Murray, David</t>
  </si>
  <si>
    <t>African Americans -- Religion. ; Indians of North America -- Religion. ; Magic. ; Race relations -- Religious aspects. ; Totemism. ; United States -- Religion.</t>
  </si>
  <si>
    <t>https://ebookcentral.proquest.com/lib/viva-active/detail.action?docID=3442051</t>
  </si>
  <si>
    <t>Abraham in Arms : War and Gender in Colonial New England</t>
  </si>
  <si>
    <t>Little, Ann M.</t>
  </si>
  <si>
    <t>English -- New England -- History -- 18th century. ; French -- New England -- History -- 18th century. ; Frontier and pioneer life -- New England. ; Indians of North America -- New England -- History. ; Masculinity -- New England -- History. ; Sex role -- New England -- History. ; New England -- Ethnic relations.</t>
  </si>
  <si>
    <t>https://ebookcentral.proquest.com/lib/viva-active/detail.action?docID=3442052</t>
  </si>
  <si>
    <t>Peoples of the River Valleys : The Odyssey of the Delaware Indians</t>
  </si>
  <si>
    <t>Schutt, Amy C.</t>
  </si>
  <si>
    <t>Delaware Indians -- History. ; Delaware Indians -- Social life and customs. ; Middle Atlantic States -- History. ; Middle Atlantic States -- Social life and customs.</t>
  </si>
  <si>
    <t>https://ebookcentral.proquest.com/lib/viva-active/detail.action?docID=3442085</t>
  </si>
  <si>
    <t>The Head in Edward Nugent's Hand : Roanoke's Forgotten Indians</t>
  </si>
  <si>
    <t>Oberg, Michael Leroy</t>
  </si>
  <si>
    <t>Raleigh, Walter, -- Sir, -- 1552?-1618. ; Algonquian Indians -- First contact with Europeans. ; Algonquian Indians -- North Carolina -- Roanoke Island. ; Algonquian Indians -- Kings and rulers. ; Roanoke Colony. ; Roanoke Island (N.C.) -- History -- 16th century. ; North Carolina -- History -- Colonial period, ca. 1600-1775.</t>
  </si>
  <si>
    <t>https://ebookcentral.proquest.com/lib/viva-active/detail.action?docID=3442088</t>
  </si>
  <si>
    <t>The Captive's Position : Female Narrative, Male Identity, and Royal Authority in Colonial New England</t>
  </si>
  <si>
    <t>Toulouse, Teresa A.</t>
  </si>
  <si>
    <t>Indian captivities -- New England -- History. ; Women -- New England -- History -- 17th century -- Sources. ; Women in literature. ; Indians in literature. ; Sex role in literature. ; Indians of North America -- History -- Colonial period, ca. 1600-1775. ; New England -- History -- Colonial period, ca. 1600-1775.</t>
  </si>
  <si>
    <t>https://ebookcentral.proquest.com/lib/viva-active/detail.action?docID=3442197</t>
  </si>
  <si>
    <t>Trade, Land, Power : The Struggle for Eastern North America</t>
  </si>
  <si>
    <t>Richter, Daniel K.</t>
  </si>
  <si>
    <t>Indians of North America -- First contact with Europeans. ; Indians of North America -- History -- Colonial period, ca. 1600-1775. ; Indians, Treatment of -- North America -- History. ; Indians of North America -- Government relations. ; North America -- History -- Colonial period, ca. 1600-1775.</t>
  </si>
  <si>
    <t>https://ebookcentral.proquest.com/lib/viva-active/detail.action?docID=3442204</t>
  </si>
  <si>
    <t>Maya Folktales from the Alta Verapaz</t>
  </si>
  <si>
    <t>University Museum Publications</t>
  </si>
  <si>
    <t>Danien, Elin C.</t>
  </si>
  <si>
    <t>Mayas -- Guatemala -- Alta Verapaz -- Folklore. ; Kekchi Indians -- Guatemala -- Alta Verapaz -- Folklore. ; Tales -- Guatemala -- Alta Verapaz. ; Alta Verapaz (Guatemala) -- Folklore.</t>
  </si>
  <si>
    <t>https://ebookcentral.proquest.com/lib/viva-active/detail.action?docID=3442214</t>
  </si>
  <si>
    <t>Quirigua Reports, Volume IV : Settlement Archaeology at Quirigua, Guatemala</t>
  </si>
  <si>
    <t>Ashmore, Wendy</t>
  </si>
  <si>
    <t>Mayas -- Guatemala -- Izabal (Department) -- Antiquities. ; Land settlement patterns, Prehistoric -- Guatemala -- Izabal (Department) ; Excavations (Archaeology) -- Guatemala -- Izabal (Department) ; Quiriguá Site (Guatemala) -- Antiquities. ; Izabal (Guatemala : Department) -- Antiquities.</t>
  </si>
  <si>
    <t>https://ebookcentral.proquest.com/lib/viva-active/detail.action?docID=3442243</t>
  </si>
  <si>
    <t>Race and the Cherokee Nation : Sovereignty in the Nineteenth Century</t>
  </si>
  <si>
    <t>Yarbrough, Fay A.</t>
  </si>
  <si>
    <t>Cherokee Indians -- Race identity. ; Indians of North America -- Mixed descent. ; African Americans -- Relations with Indians. ; Slavery -- Southern States -- History. ; Slavery -- Oklahoma -- History. ; Ex-slaves of Indian tribes -- Southern States -- History. ; Ex-slaves of Indian tribes -- Oklahoma -- History.</t>
  </si>
  <si>
    <t>https://ebookcentral.proquest.com/lib/viva-active/detail.action?docID=3442303</t>
  </si>
  <si>
    <t>Subjects unto the Same King : Indians, English, and the Contest for Authority in Colonial New England</t>
  </si>
  <si>
    <t>Pulsipher, Jenny Hale</t>
  </si>
  <si>
    <t>Indians of North America -- New England -- Government relations. ; Indians of North America -- Government relations -- To 1789. ; Indians of North America -- New England -- History -- 17th century. ; New England -- History -- Colonial period, ca. 1600-1775. ; Massachusetts -- Politics and government -- To 1775.</t>
  </si>
  <si>
    <t>https://ebookcentral.proquest.com/lib/viva-active/detail.action?docID=3442327</t>
  </si>
  <si>
    <t>Contested Spaces of Early America</t>
  </si>
  <si>
    <t>Barr, Juliana;Countryman, Edward</t>
  </si>
  <si>
    <t>Borderlands -- America -- History. ; Indians -- Land tenure. ; America -- History -- To 1810. ; America -- Colonization. ; America -- Historical geography.</t>
  </si>
  <si>
    <t>https://ebookcentral.proquest.com/lib/viva-active/detail.action?docID=3442344</t>
  </si>
  <si>
    <t>The Bishop's Utopia : Envisioning Improvement in Colonial Peru</t>
  </si>
  <si>
    <t>Berquist Soule, Emily</t>
  </si>
  <si>
    <t>Martínez Compañón y Bujanda, Baltasar Jaime, -- 1735-1797. ; Martínez Compañón y Bujanda, Baltasar Jaime, -- 1735-1797. -- Trujillo del Perú a fines del siglo XVIII. ; Indians of South America -- Material culture -- Peru -- Trujillo (La Libertad) ; Indians of South America -- Ethnobotany -- Peru -- Trujillo (La Libertad) ; Indians of South America -- Peru -- Trujillo (La Libertad) -- Social conditions -- 18th century. ; Social planning -- Peru -- Trujillo (La Libertad) -- History -- 18th century. ; Utopias -- Peru -- Trujillo (La Libertad) -- History -- 18th century.</t>
  </si>
  <si>
    <t>https://ebookcentral.proquest.com/lib/viva-active/detail.action?docID=3442345</t>
  </si>
  <si>
    <t>Lenape Country : Delaware Valley Society Before William Penn</t>
  </si>
  <si>
    <t>Soderlund, Jean R.</t>
  </si>
  <si>
    <t>Delaware Indians -- Delaware River Valley (N.Y.-Del. and N.J.) -- History -- 17th century. ; Delaware Indians -- Delaware River Valley (N.Y.-Del. and N.J.) -- Government relations -- History -- 17th century. ; Indians of North America -- History -- Colonial period, ca. 1600-1775. ; Delaware River Valley (N.Y.-Del. and N.J.) -- History -- 17th century. ; Delaware River Valley (N.Y.-Del. and N.J.) -- Ethnic relations -- History -- 17th century. ; Delaware River Valley (N.Y.-Del. and N.J.) -- Social conditions -- 17th century.</t>
  </si>
  <si>
    <t>https://ebookcentral.proquest.com/lib/viva-active/detail.action?docID=3442436</t>
  </si>
  <si>
    <t>Shoshonean Peoples and the Overland Trail : Frontiers of the Utah Superintendency of Indian Affairs, 1849–1869</t>
  </si>
  <si>
    <t>Utah State University Press</t>
  </si>
  <si>
    <t xml:space="preserve">Morgan, Dale L;Saunders, Jr., Richard;Smoak, Gregory;Saunders, Jr Richard </t>
  </si>
  <si>
    <t>United States. -- Office of Indian Affairs. -- Utah Superintendency -- History. ; Shoshoni Indians -- Government relations. ; Shoshoni Indians -- History. ; Shoshoni Indians -- Social conditions. ; Mormon Church -- History. ; Overland journeys to the Pacific. ; Oregon National Historic Trail.</t>
  </si>
  <si>
    <t>https://ebookcentral.proquest.com/lib/viva-active/detail.action?docID=3442857</t>
  </si>
  <si>
    <t>Working on the Railroad, Walking in Beauty : Navajos, Hozho, and Track Work</t>
  </si>
  <si>
    <t>Youngdahl, Jay</t>
  </si>
  <si>
    <t>Navajo Indians -- Employment. ; Navajo Indians -- Social conditions. ; Navajo Indians -- Religion. ; Railroad construction workers -- Southwest, New -- History. ; Railroads -- Southwest, New -- Employees -- History. ; Southwest, New -- Race relations. ; Southwest, New -- Politics and government.</t>
  </si>
  <si>
    <t>https://ebookcentral.proquest.com/lib/viva-active/detail.action?docID=3442877</t>
  </si>
  <si>
    <t>Southern Paiute : A Portrait</t>
  </si>
  <si>
    <t>Hebner, Logan;Plyler, Michael</t>
  </si>
  <si>
    <t>Southern Paiute Indians -- Interviews. ; Southern Paiute Indians -- Portraits. ; Older Indians -- Southwest, New -- Interviews. ; Older Indians -- Southwest, New -- Portraits. ; Southern Paiute Indians -- Social life and customs. ; Interviews -- Southwest, New.</t>
  </si>
  <si>
    <t>https://ebookcentral.proquest.com/lib/viva-active/detail.action?docID=3442906</t>
  </si>
  <si>
    <t>Growing up in a Culture of Respect : Child Rearing in Highland Peru</t>
  </si>
  <si>
    <t>University of Texas Press</t>
  </si>
  <si>
    <t>Bolin, Inge</t>
  </si>
  <si>
    <t>Quechua children -- Peru -- Chillihuani. ; Quechua Indians -- Social life and customs. ; Quechua Indians -- Rites and ceremonies. ; Herders -- Peru -- Chillihuani. ; Chillihuani (Tacna, Peru) -- Social life and customs.</t>
  </si>
  <si>
    <t>https://ebookcentral.proquest.com/lib/viva-active/detail.action?docID=3442979</t>
  </si>
  <si>
    <t>Indian Stereotypes in TV Science Fiction : First Nations' Voices Speak Out</t>
  </si>
  <si>
    <t xml:space="preserve">Adare, Sierra;Adare, Sierra S </t>
  </si>
  <si>
    <t>Indians on television. ; Science fiction television programs -- United States.</t>
  </si>
  <si>
    <t>https://ebookcentral.proquest.com/lib/viva-active/detail.action?docID=3442981</t>
  </si>
  <si>
    <t>This Land was Mexican Once : Histories of Resistance from Northern California</t>
  </si>
  <si>
    <t>Heidenreich, Linda</t>
  </si>
  <si>
    <t>Mexican Americans -- California -- Napa County -- History -- Anecdotes. ; Wappo Indians -- California -- Napa County -- History -- Anecdotes. ; Women -- California -- Napa County -- History -- Anecdotes. ; Immigrants -- California -- Napa County -- History -- Anecdotes. ; Government, Resistance to -- California -- Napa County -- History -- Anecdotes. ; Napa County (Calif.) -- Historiography. ; Napa County (Calif.) -- History -- Anecdotes.</t>
  </si>
  <si>
    <t>https://ebookcentral.proquest.com/lib/viva-active/detail.action?docID=3443046</t>
  </si>
  <si>
    <t>Great Confusion in Indian Affairs : Native Americans and Whites in the Progressive Era</t>
  </si>
  <si>
    <t>Holm, Tom</t>
  </si>
  <si>
    <t>Indians of North America -- Cultural assimilation. ; Indians of North America -- Government relations. ; Indians of North America -- Politics and government. ; Indians in popular culture. ; Assimilation (Sociology) -- United States -- History. ; United States -- Social policy. ; United States -- Race relations.</t>
  </si>
  <si>
    <t>https://ebookcentral.proquest.com/lib/viva-active/detail.action?docID=3443087</t>
  </si>
  <si>
    <t>Water and Ritual : The Rise and Fall of Classic Maya Rulers</t>
  </si>
  <si>
    <t>Lucero, Lisa J.</t>
  </si>
  <si>
    <t>Mayas -- Politics and government. ; Mayas -- Kings and rulers. ; Mayas -- Rites and ceremonies. ; Water rights -- Central America. ; Water rights -- Mexico. ; Water -- Religious aspects. ; Central America -- Economic conditions.</t>
  </si>
  <si>
    <t>https://ebookcentral.proquest.com/lib/viva-active/detail.action?docID=3443111</t>
  </si>
  <si>
    <t>Poison Arrows : North American Indian Hunting and Warfare</t>
  </si>
  <si>
    <t>Jones, David E.</t>
  </si>
  <si>
    <t>Indian weapons -- North America. ; Indians of North America -- Ethnobotany. ; Indians of North America -- Hunting. ; Arrow poisons -- North America. ; Poisonous plants -- North America. ; Poisonous animals -- North America. ; Neurotoxic agents -- North America.</t>
  </si>
  <si>
    <t>https://ebookcentral.proquest.com/lib/viva-active/detail.action?docID=3443124</t>
  </si>
  <si>
    <t>Mayan Voices for Human Rights : Displaced Catholics in Highland Chiapas</t>
  </si>
  <si>
    <t>Kovic, Christine Marie</t>
  </si>
  <si>
    <t>Mayas -- Mexico -- Chiapas -- Religion. ; Mayas -- Civil rights -- Mexico -- Chiapas. ; Mayas -- Mexico -- Chiapas -- Social conditions. ; Indian Catholics -- Mexico -- Chiapas -- Social conditions. ; Human rights -- Religious aspects -- Catholic Church. ; Church and social problems -- Mexico -- Chiapas -- Catholic Church. ; Catholics -- Mexico -- Chiapas -- Political activity.</t>
  </si>
  <si>
    <t>https://ebookcentral.proquest.com/lib/viva-active/detail.action?docID=3443126</t>
  </si>
  <si>
    <t>American Indian Constitutional Reform and the Rebuilding of Native Nations</t>
  </si>
  <si>
    <t>Lemont, Eric D.</t>
  </si>
  <si>
    <t>Indians of North America -- Legal status, laws, etc. ; Indians of North America -- Politics and government.</t>
  </si>
  <si>
    <t>https://ebookcentral.proquest.com/lib/viva-active/detail.action?docID=3443135</t>
  </si>
  <si>
    <t>Seeing and Being Seen : The Q'eqchi' Maya of Livingston, Guatemala, and Beyond</t>
  </si>
  <si>
    <t>Kahn, Hilary E.</t>
  </si>
  <si>
    <t>Kekchi Indians -- Guatemala -- Lívingston -- History. ; Kekchi Indians -- Guatemala -- Lívingston -- Ethnic identity. ; Kekchi Indians -- Guatemala -- Lívingston -- Social conditions. ; Video recording in ethnology -- Guatemala -- Lívingston. ; Motion pictures in ethnology -- Guatemala -- Lívingston. ; Indians in motion pictures. ; Lívingston (Guatemala) -- Social life and customs.</t>
  </si>
  <si>
    <t>https://ebookcentral.proquest.com/lib/viva-active/detail.action?docID=3443137</t>
  </si>
  <si>
    <t>Unlearning the Language of Conquest : Scholars Expose Anti-Indianism in America</t>
  </si>
  <si>
    <t>Jacobs, Donald Trent</t>
  </si>
  <si>
    <t>Indians of North America -- Public opinion. ; Indians of North America -- History. ; Indians in popular culture -- United States. ; Public opinion -- United States. ; United States -- Ethnic relations. ; United States -- Race relations.</t>
  </si>
  <si>
    <t>https://ebookcentral.proquest.com/lib/viva-active/detail.action?docID=3443140</t>
  </si>
  <si>
    <t>Voices from the Global Margin : Confronting Poverty and Inventing New Lives in the Andes</t>
  </si>
  <si>
    <t>Mitchell, William P.</t>
  </si>
  <si>
    <t>Sendero Luminoso (Guerrilla group) ; Indians of South America -- Peru -- Economic conditions. ; Indians of South America -- Peru -- Social conditions. ; Indians of South America -- Peru -- Government relations. ; Poverty -- Peru. ; Peasants -- Peru. ; Peru -- Politics and government -- 1980-</t>
  </si>
  <si>
    <t>https://ebookcentral.proquest.com/lib/viva-active/detail.action?docID=3443155</t>
  </si>
  <si>
    <t>Contemporary Maya Spirituality : The Ancient Ways Are Not Lost</t>
  </si>
  <si>
    <t>Molesky-Poz, Jean</t>
  </si>
  <si>
    <t>Mayas -- Religion. ; Mayas -- Guatemala -- Social life and customs. ; Maya calendar -- Guatemala. ; Rites and ceremonies -- Guatemala. ; Guatemala -- Social life and customs.</t>
  </si>
  <si>
    <t>https://ebookcentral.proquest.com/lib/viva-active/detail.action?docID=3443165</t>
  </si>
  <si>
    <t>Maya Intellectual Renaissance : Identity, Representation, and Leadership</t>
  </si>
  <si>
    <t>Montejo, Victor D.</t>
  </si>
  <si>
    <t>Mayas -- Intellectual life. ; Mayas -- Ethnic identity. ; Maya philosophy. ; Latin America -- Ethnic relations. ; Latin America -- Social life and customs.</t>
  </si>
  <si>
    <t>https://ebookcentral.proquest.com/lib/viva-active/detail.action?docID=3443171</t>
  </si>
  <si>
    <t>Late Archaic Across the Borderlands : From Foraging to Farming</t>
  </si>
  <si>
    <t>Vierra, Bradley J.</t>
  </si>
  <si>
    <t>Indians of Mexico -- Mexican-American Border Region -- Antiquities. ; Indians of North America -- Mexican-American Border Region -- Antiquities. ; Indians of Mexico -- Agriculture -- Mexican-American Border Region. ; Indians of North America -- Agriculture -- Mexican-American Border Region. ; Hunting and gathering societies -- Mexican-American Border Region. ; Excavations (Archaeology) -- Mexican-American Border Region. ; Mexican-American Border Region -- Antiquities.</t>
  </si>
  <si>
    <t>https://ebookcentral.proquest.com/lib/viva-active/detail.action?docID=3443183</t>
  </si>
  <si>
    <t>Teotihuacan Trinity : The Sociopolitical Structure of an Ancient Mesoamerican City</t>
  </si>
  <si>
    <t>Headrick, Annabeth</t>
  </si>
  <si>
    <t>Aztecs -- Mexico -- San Juan Teotihuacán -- Politics and government. ; Aztecs -- Mexico -- San Juan Teotihuacán -- Rites and ceremonies. ; Aztecs -- Mexico -- San Juan Teotihuacán -- Antiquities. ; Excavations (Archaeology) -- Mexico -- San Juan Teotihuacán. ; Social archaeology -- Mexico -- San Juan Teotihuacán. ; Teotihuacán Site (San Juan Teotihuacán, Mexico) ; San Juan Teotihuacán (Mexico) -- Antiquities.</t>
  </si>
  <si>
    <t>https://ebookcentral.proquest.com/lib/viva-active/detail.action?docID=3443188</t>
  </si>
  <si>
    <t>Hidden History of Capoeira : A Collision of Cultures in the Brazilian Battle Dance</t>
  </si>
  <si>
    <t>Talmon-Chvaicer, Maya</t>
  </si>
  <si>
    <t>Capoeira (Dance) -- Social aspects -- Brazil -- History. ; Brazil -- Social life and customs.</t>
  </si>
  <si>
    <t>https://ebookcentral.proquest.com/lib/viva-active/detail.action?docID=3443194</t>
  </si>
  <si>
    <t>Farming, Hunting, and Fishing in the Olmec World</t>
  </si>
  <si>
    <t>VanDerwarker, Amber M.</t>
  </si>
  <si>
    <t>Olmecs -- Agriculture. ; Olmecs -- Hunting. ; Olmecs -- Food. ; Food habits -- Mexico -- History. ; Subsistence economy -- Mexico -- History.</t>
  </si>
  <si>
    <t>https://ebookcentral.proquest.com/lib/viva-active/detail.action?docID=3443213</t>
  </si>
  <si>
    <t>Weaving and Dyeing in Highland Ecuador</t>
  </si>
  <si>
    <t>Rowe, Ann Pollard;Miller, Laura M.;Meisch, Lynn A.</t>
  </si>
  <si>
    <t>Indian textile fabrics -- Ecuador. ; Dyes and dyeing -- Textile fibers. ; Hand weaving -- Ecuador -- Patterns. ; Dye plants -- Ecuador. ; Ecuador -- Social life and customs.</t>
  </si>
  <si>
    <t>https://ebookcentral.proquest.com/lib/viva-active/detail.action?docID=3443232</t>
  </si>
  <si>
    <t>Ancient Objects and Sacred Realms : Interpretations of Mississippian Iconography</t>
  </si>
  <si>
    <t>Reilly, F. Kent;Garber, James F.</t>
  </si>
  <si>
    <t>Mississippian culture. ; Mississippian art. ; Symbolism in art -- Mississippi River Valley. ; Symbolism in art -- Southern States. ; Supernatural in art -- Mississippi River Valley. ; Supernatural in art -- Southern States. ; Indians of North America -- Southern States -- Antiquities.</t>
  </si>
  <si>
    <t>https://ebookcentral.proquest.com/lib/viva-active/detail.action?docID=3443259</t>
  </si>
  <si>
    <t>Shamans of the Foye Tree : Gender, Power, and Healing among Chilean Mapuche</t>
  </si>
  <si>
    <t>Bacigalupo, Ana Mariella</t>
  </si>
  <si>
    <t>Mapuche Indians -- Rites and ceremonies. ; Mapuche Indians -- Government relations. ; Indigenous peoples -- Ecology -- Chile. ; Shamans -- Chile. ; Trees -- Religious aspects. ; Chile -- Social life and customs.</t>
  </si>
  <si>
    <t>https://ebookcentral.proquest.com/lib/viva-active/detail.action?docID=3443270</t>
  </si>
  <si>
    <t>Performing Kinship : Narrative, Gender, and the Intimacies of Power in the Andes</t>
  </si>
  <si>
    <t>Van Vleet, Krista E.</t>
  </si>
  <si>
    <t>Quechua women -- Bolivia -- Social conditions. ; Kinship -- Bolivia. ; Oral tradition -- Bolivia. ; Bolivia -- Social conditions -- 1982-</t>
  </si>
  <si>
    <t>https://ebookcentral.proquest.com/lib/viva-active/detail.action?docID=3443284</t>
  </si>
  <si>
    <t>Historic Native Peoples of Texas</t>
  </si>
  <si>
    <t>Foster, William C.</t>
  </si>
  <si>
    <t>Indians of North America -- Texas -- History -- Sources. ; Texas -- History -- Sources.</t>
  </si>
  <si>
    <t>https://ebookcentral.proquest.com/lib/viva-active/detail.action?docID=3443286</t>
  </si>
  <si>
    <t>Cultural Memory : Resistance, Faith and Identity</t>
  </si>
  <si>
    <t>Rodríguez, Jeanette;Fortier, Ted</t>
  </si>
  <si>
    <t>Memory -- Religious aspects -- Christianity -- Case studies. ; Memory -- Religious aspects -- Case studies. ; Memory -- Social aspects -- Case studies. ; Christianity and culture -- Case studies. ; Religion and culture -- Case studies.</t>
  </si>
  <si>
    <t>https://ebookcentral.proquest.com/lib/viva-active/detail.action?docID=3443292</t>
  </si>
  <si>
    <t>Maya Calendar Origins : Monuments, Mythistory, and the Materialization of Time</t>
  </si>
  <si>
    <t>History; Science: Astronomy; Science</t>
  </si>
  <si>
    <t>Maya calendar. ; Maya chronology. ; Maya cosmology.</t>
  </si>
  <si>
    <t>https://ebookcentral.proquest.com/lib/viva-active/detail.action?docID=3443317</t>
  </si>
  <si>
    <t>Art and Archaeology of the Moche : An Ancient Andean Society of the Peruvian North Coast</t>
  </si>
  <si>
    <t>Bourget, Steve;Jones, Kimberly L.</t>
  </si>
  <si>
    <t>Mochica Indians -- Antiquities -- Congresses. ; Mochica art -- Congresses. ; Excavations (Archaeology) -- Peru -- Moche River Valley -- Congresses. ; Moche River Valley (Peru) -- Antiquities -- Congresses.</t>
  </si>
  <si>
    <t>https://ebookcentral.proquest.com/lib/viva-active/detail.action?docID=3443347</t>
  </si>
  <si>
    <t>Walls of Empowerment : Chicana/o Indigenist Murals of California</t>
  </si>
  <si>
    <t>Latorre, Guisela</t>
  </si>
  <si>
    <t>Mexican American mural painting and decoration -- Political aspects -- California, Southern -- 20th century. ; Street art -- California, Southern. ; Indians in art.</t>
  </si>
  <si>
    <t>https://ebookcentral.proquest.com/lib/viva-active/detail.action?docID=3443350</t>
  </si>
  <si>
    <t>Tira de Tepechpan : Negotiating Place under Aztec and Spanish Rule</t>
  </si>
  <si>
    <t>Diel, Lori Boornazian</t>
  </si>
  <si>
    <t>Tira de Tepechpan. ; Aztecs -- Mexico -- Tepexpan -- History -- Chronology. ; Aztec art -- Mexico -- Tepexpan. ; Aztecs -- First contact with Europeans. ; Tepexpan (Mexico) -- History -- Chronology. ; Mexico -- History -- To 1810. ; Mexico -- History -- Spanish colony, 1540-1810.</t>
  </si>
  <si>
    <t>https://ebookcentral.proquest.com/lib/viva-active/detail.action?docID=3443359</t>
  </si>
  <si>
    <t>Hijos del Pueblo : Gender, Family, and Community in Rural Mexico, 1730-1850</t>
  </si>
  <si>
    <t>Kanter, Deborah</t>
  </si>
  <si>
    <t>Indians of Mexico -- Mexico -- Toluca de Lerdo Region -- Social conditions. ; Kinship -- Mexico -- Toluca de Lerdo Region. ; Sex role -- Mexico -- Toluca de Lerdo Region. ; Families -- Mexico -- Toluca de Lerdo Region. ; Toluca de Lerdo Region (Mexico) -- Social conditions.</t>
  </si>
  <si>
    <t>https://ebookcentral.proquest.com/lib/viva-active/detail.action?docID=3443365</t>
  </si>
  <si>
    <t>Kiowa Ethnogeography</t>
  </si>
  <si>
    <t>Meadows, William C.</t>
  </si>
  <si>
    <t>Kiowa Indians -- Social life and customs. ; Names, Geographical -- Social aspects -- Great Plains. ; Cultural property -- Great Plains. ; Geographical perception -- Great Plains. ; Great Plains -- Social life and customs.</t>
  </si>
  <si>
    <t>https://ebookcentral.proquest.com/lib/viva-active/detail.action?docID=3443388</t>
  </si>
  <si>
    <t>Art and Archaeology of Challuabamba, Ecuador : An Ancient Andean Society of the Peruvian North Coast</t>
  </si>
  <si>
    <t>Grieder, Terence;Farmer, James D.;Hill, David V.</t>
  </si>
  <si>
    <t>Cañari Indians -- Ecuador -- Cuenca -- Antiquities. ; Indian pottery -- Ecuador -- Cuenca. ; Effigy pottery -- Ecuador -- Cuenca. ; Pottery figures -- Ecuador -- Cuenca. ; Indian seals (Numismatics) -- Ecuador -- Cuenca. ; Excavations (Archaeology) -- Ecuador -- Cuenca. ; Challuabamba Site (Ecuador)</t>
  </si>
  <si>
    <t>https://ebookcentral.proquest.com/lib/viva-active/detail.action?docID=3443398</t>
  </si>
  <si>
    <t>Lightning Gods and Feathered Serpents : The Public Sculpture of El Tajín</t>
  </si>
  <si>
    <t>Koontz, Rex</t>
  </si>
  <si>
    <t>Totonac sculpture -- Mexico -- Veracruz-Llave (State) ; Totonac art -- Mexico -- Veracruz-Llave (State) ; Totonac architecture -- Mexico -- Veracruz-Llave (State) ; Tajín Site (Mexico) ; Veracruz-Llave (Mexico : State) -- Antiquities.</t>
  </si>
  <si>
    <t>https://ebookcentral.proquest.com/lib/viva-active/detail.action?docID=3443407</t>
  </si>
  <si>
    <t>Ballads of the Lords of New Spain : The Codex Romances de Los Señores de la Nueva España</t>
  </si>
  <si>
    <t>Bierhorst, John</t>
  </si>
  <si>
    <t>Nahuatl poetry. ; Nahuatl poetry -- Translations into English.</t>
  </si>
  <si>
    <t>https://ebookcentral.proquest.com/lib/viva-active/detail.action?docID=3443414</t>
  </si>
  <si>
    <t>Red, Black, and Jew : New Frontiers in Hebrew Literature</t>
  </si>
  <si>
    <t>Katz, Stephen</t>
  </si>
  <si>
    <t>Indians in literature. ; African Americans in literature. ; Hebrew literature, Modern -- United States -- History and criticism. ; Hebrew literature, Modern -- American influences. ; Jews -- United States -- Intellectual life.</t>
  </si>
  <si>
    <t>https://ebookcentral.proquest.com/lib/viva-active/detail.action?docID=3443419</t>
  </si>
  <si>
    <t>Of Summits and Sacrifice : An Ethnohistoric Study of Inka Religious Practices</t>
  </si>
  <si>
    <t>Incas -- Rites and ceremonies. ; Incas -- Antiquities. ; Human sacrifice -- Peru. ; Mountains -- Religious aspects. ; Peru -- Antiquities.</t>
  </si>
  <si>
    <t>https://ebookcentral.proquest.com/lib/viva-active/detail.action?docID=3443432</t>
  </si>
  <si>
    <t>Lord Eight Wind of Suchixtlan and the Heroes of Ancient Oaxaca : Reading History in the Codex Zouche-Nuttall</t>
  </si>
  <si>
    <t>Linda Schele Series in Maya and Pre-Columbian Studies</t>
  </si>
  <si>
    <t xml:space="preserve">Williams, Robert Lloyd;Reilly, F. Kent ;Pohl, John M.D. </t>
  </si>
  <si>
    <t>Eight Wind, -- 935-1027. ; Codex Nuttall. ; Manuscripts, Mixtec. ; Mixtec Indians -- History. ; Mixtec Indians -- Kings and rulers. ; Mixtec language -- Writing. ; Picture-writing -- Mexico.</t>
  </si>
  <si>
    <t>https://ebookcentral.proquest.com/lib/viva-active/detail.action?docID=3443433</t>
  </si>
  <si>
    <t>Adoring the Saints : Fiestas in Central Mexico</t>
  </si>
  <si>
    <t>William and Bettye Nowlin Series in Art, History, and Culture of the Western Hemisphere</t>
  </si>
  <si>
    <t>Lastra, Yolanda;Sherzer, Joel;Sherzer, Dina</t>
  </si>
  <si>
    <t>Louis -- IX, -- King of France, -- 1214-1270 -- Cult -- Mexico -- San Luis de la Paz. ; Fasts and feasts -- Mexico -- San Luis de la Paz. ; Fasts and feasts -- Mexico -- San Miguel de Allende. ; Christian patron saints -- Mexico -- San Luis de la Paz. ; Christian patron saints -- Mexico -- San Miguel de Allende. ; Holy Week -- Mexico -- San Miguel de Allende. ; Chichimeca-Jonaz Indians -- Mexico -- San Luis de la Paz -- Religion.</t>
  </si>
  <si>
    <t>https://ebookcentral.proquest.com/lib/viva-active/detail.action?docID=3443434</t>
  </si>
  <si>
    <t>Chiefs, Scribes, and Ethnographers : Kuna Culture from Inside and Out</t>
  </si>
  <si>
    <t>Howe, James</t>
  </si>
  <si>
    <t>Cuna Indians -- Historiography. ; Cuna Indians -- Public opinion. ; Cuna Indians -- Social life and customs. ; Ethnology -- Panama -- Authorship. ; Indians in literature. ; Indian anthropologists -- Panama. ; Participant observation -- Panama.</t>
  </si>
  <si>
    <t>https://ebookcentral.proquest.com/lib/viva-active/detail.action?docID=3443436</t>
  </si>
  <si>
    <t>First New Chronicle and Good Government : On the History of the World and the Incas up To 1615</t>
  </si>
  <si>
    <t>Guaman Poma de Ayala, Felipe;Hamilton, Roland</t>
  </si>
  <si>
    <t>Incas. ; Indians of South America -- Peru -- Social life and customs. ; Peru -- History -- Conquest, 1522-1548. ; Peru -- History -- To 1820.</t>
  </si>
  <si>
    <t>https://ebookcentral.proquest.com/lib/viva-active/detail.action?docID=3443464</t>
  </si>
  <si>
    <t>In the Palace of Nezahualcoyotl : Painting Manuscripts, Writing the Pre-Hispanic Past in Early Colonial Period Tetzcoco, Mexico</t>
  </si>
  <si>
    <t>Douglas, Eduardo de J.</t>
  </si>
  <si>
    <t>Nezahualcóyotl, -- King of Texcoco, -- 1402-1472 -- Homes and haunts -- Mexico -- Texcoco de Mora. ; Codex Xolotl. ; Mapa Quinatzin. ; Mapa Tlohtzin. ; Manuscripts, Nahuatl -- Mexico -- Texcoco de Mora. ; Aztec art -- Mexico -- Texcoco de Mora. ; Aztecs -- Mexico -- Texcoco de Mora -- History -- Sources.</t>
  </si>
  <si>
    <t>https://ebookcentral.proquest.com/lib/viva-active/detail.action?docID=3443472</t>
  </si>
  <si>
    <t>Sex, Death, and Sacrifice in Moche Religion and Visual Culture</t>
  </si>
  <si>
    <t>Bourget, Steve</t>
  </si>
  <si>
    <t>Mochica pottery -- Themes, motives. ; Mochica Indians -- Rites and ceremonies. ; Mochica Indians -- Social life and customs. ; Sex in art. ; Death in art. ; Human sacrifice in art. ; Peru -- Antiquities.</t>
  </si>
  <si>
    <t>https://ebookcentral.proquest.com/lib/viva-active/detail.action?docID=3443506</t>
  </si>
  <si>
    <t>Visualizing the Sacred : Cosmic Visions, Regionalism, and the Art of the Mississippian World</t>
  </si>
  <si>
    <t>Lankford, George E.;Reilly, F. Kent;Garber, James F.</t>
  </si>
  <si>
    <t>Mississippian culture. ; Mississippian art. ; Indian cosmology -- Mississippi River Valley -- History -- To 1500. ; Indians of North America -- Mississippi River Valley -- Religion. ; Visions -- Mississippi River Valley -- History -- To 1500. ; Regionalism -- Mississippi River Valley -- History -- To 1500. ; Mississippi River Valley -- Antiquities.</t>
  </si>
  <si>
    <t>https://ebookcentral.proquest.com/lib/viva-active/detail.action?docID=3443520</t>
  </si>
  <si>
    <t>Account of the Fables and Rites of the Incas</t>
  </si>
  <si>
    <t xml:space="preserve">Molina, Cristóbal de;Bauer, Brian S.;Smith-Oka, Vania;Smith-Oka, Vania ;Cantarutti, Gabriel E ;Bauer, Brian S ;Smith-Oka, Vania </t>
  </si>
  <si>
    <t>Inca mythology. ; Peru -- History -- Conquest, 1522-1548.</t>
  </si>
  <si>
    <t>https://ebookcentral.proquest.com/lib/viva-active/detail.action?docID=3443536</t>
  </si>
  <si>
    <t>Jaguar Within : Shamanic Trance in Ancient Central and South American Art</t>
  </si>
  <si>
    <t>Stone, Rebecca R.</t>
  </si>
  <si>
    <t>Indian art -- Costa Rica. ; Indian art -- Andes Region. ; Indians of Central America -- Costa Rica -- Rites and ceremonies. ; Indians of South America -- Andes Region -- Rites and ceremonies. ; Shamanism -- Costa Rica. ; Shamanism -- Andes Region. ; Shamanism in art.</t>
  </si>
  <si>
    <t>https://ebookcentral.proquest.com/lib/viva-active/detail.action?docID=3443550</t>
  </si>
  <si>
    <t>Foxboy : Intimacy and Aesthetics in Andean Stories</t>
  </si>
  <si>
    <t>Joe R. and Teresa Lozano Long Series in Latin American and Latino Art and Culture</t>
  </si>
  <si>
    <t>Allen, Catherine J.;Meyerson, Julia</t>
  </si>
  <si>
    <t>Quechua Indians -- Folklore. ; Quechua language -- Texts. ; Quechua textile fabrics. ; Foxes -- Folklore. ; Tales -- Andes Region. ; Erotic stories -- Social aspects -- Andes Region.</t>
  </si>
  <si>
    <t>https://ebookcentral.proquest.com/lib/viva-active/detail.action?docID=3443555</t>
  </si>
  <si>
    <t>Tell Me the Story of How I Conquered You : Elsewheres and Ethnosuicide in the Colonial Mesoamerican World</t>
  </si>
  <si>
    <t>Rabasa, Jose</t>
  </si>
  <si>
    <t>Dominicans -- Missions -- Mexico -- History. ; Franciscans -- Missions -- Mexico -- History. ; Codex Telleriano-Remensis. ; Aztec art. ; Aztecs -- Missions. ; Nahuatl language -- Writing. ; Mexico -- History -- Spanish colony, 1540-1810.</t>
  </si>
  <si>
    <t>https://ebookcentral.proquest.com/lib/viva-active/detail.action?docID=3443560</t>
  </si>
  <si>
    <t>Words of the True Peoples/Palabras de los Seres Verdaderos : Anthology of Contemporary Mexican Indigenous-Language Writers/Antología de Escritores Actuales en Lenguas Indígenas de México : Volume Three/Tomo Tres : Theater/Teatro</t>
  </si>
  <si>
    <t>Montemayor, Carlos;Frischmann, Donald;Frischmann, Donald</t>
  </si>
  <si>
    <t>Indian literature -- Mexico -- History and criticism. ; Indians of Mexico -- Languages -- Texts. ; Maya literature -- History and criticism. ; Mexican literature -- History and criticism.</t>
  </si>
  <si>
    <t>https://ebookcentral.proquest.com/lib/viva-active/detail.action?docID=3443561</t>
  </si>
  <si>
    <t>Journey of a Tzotzil-Maya Woman of Chiapas, Mexico : Pass Well over the Earth</t>
  </si>
  <si>
    <t>Eber, Christine;Antonia</t>
  </si>
  <si>
    <t>Tzotzil women -- Mexico -- Chenalhó -- Social conditions. ; Tzotzil women -- Political activity -- Mexico -- Chenalhó. ; Feminist anthropology -- Mexico -- Chenalhó. ; Chiapas (Mexico) -- History -- Peasant Uprising, 1994- ; Chenalhó (Mexico) -- History. ; Chenalhó (Mexico) -- Social conditions.</t>
  </si>
  <si>
    <t>https://ebookcentral.proquest.com/lib/viva-active/detail.action?docID=3443572</t>
  </si>
  <si>
    <t>Art, Nature, and Religion in the Central Andes : Themes and Variations From Prehistory to Present</t>
  </si>
  <si>
    <t>Strong, Mary</t>
  </si>
  <si>
    <t>Indian art -- Andes Region. ; Indians of South America -- Andes Region -- Religion. ; Indians of South America -- Andes Region -- History. ; Indians of South America -- Andes Region -- Social life and customs.</t>
  </si>
  <si>
    <t>https://ebookcentral.proquest.com/lib/viva-active/detail.action?docID=3443586</t>
  </si>
  <si>
    <t>Shaman's Mirror : Visionary Art of the Huichol</t>
  </si>
  <si>
    <t>MacLean, Hope</t>
  </si>
  <si>
    <t>Art, Shamanistic. ; Hallucinogenic drugs and religious experience. ; Huichol art. ; Huichol mythology. ; Huichol textile fabrics. ; Symbolism in art.</t>
  </si>
  <si>
    <t>https://ebookcentral.proquest.com/lib/viva-active/detail.action?docID=3443598</t>
  </si>
  <si>
    <t>Climate and Culture Change in North America AD 900-1600</t>
  </si>
  <si>
    <t>Clifton and Shirley Caldwell Texas Heritage Series</t>
  </si>
  <si>
    <t>Science: Geology; Environmental Studies; Science</t>
  </si>
  <si>
    <t>Casas Grandes culture -- Mexico -- Chihuahua (State) ; Chaco culture -- New Mexico -- Chaco Canyon. ; Indigenous peoples -- Ecology -- Mexico. ; Indigenous peoples -- Ecology -- North America. ; Mississippian culture -- Illinois -- American Bottom. ; Cahokia Mounds State Historic Park (Ill.)</t>
  </si>
  <si>
    <t>https://ebookcentral.proquest.com/lib/viva-active/detail.action?docID=3443600</t>
  </si>
  <si>
    <t>Reconsidering Olmec Visual Culture : The Unborn, Women, and Creation</t>
  </si>
  <si>
    <t>Tate, Carolyn E.</t>
  </si>
  <si>
    <t>Fetus in art. ; Indian women in art. ; Olmec art -- Themes, motives. ; Olmec mythology. ; Olmec sculpture. ; Pregnancy in art. ; La Venta Site (Mexico)</t>
  </si>
  <si>
    <t>https://ebookcentral.proquest.com/lib/viva-active/detail.action?docID=3443601</t>
  </si>
  <si>
    <t>Worlds of the Moche on the North Coast of Peru</t>
  </si>
  <si>
    <t>Benson, Elizabeth P.</t>
  </si>
  <si>
    <t>Mochica Indians -- History. ; Mochica pottery. ; Mochica architecture. ; Pacific Coast (Peru) -- Antiquities.</t>
  </si>
  <si>
    <t>https://ebookcentral.proquest.com/lib/viva-active/detail.action?docID=3443603</t>
  </si>
  <si>
    <t>War for the Heart and Soul of a Highland Maya Town</t>
  </si>
  <si>
    <t>Carlsen, Robert S.;Prechtel, Martín;Carrasco, Davíd</t>
  </si>
  <si>
    <t>Tzutuhil Indians -- Social conditions. ; Tzutuhil philosophy. ; Tzutuhil Indians -- Religion. ; Social change -- Guatemala -- Santiago Atitlán. ; Santiago Atitlán (Guatemala) -- Folklore. ; Santiago Atitlán (Guatemala) -- Politics and government. ; Santiago Atitlán (Guatemala) -- Social life and customs.</t>
  </si>
  <si>
    <t>https://ebookcentral.proquest.com/lib/viva-active/detail.action?docID=3443608</t>
  </si>
  <si>
    <t>Future for Amazonia : Randy Borman and Cofán Environmental Politics</t>
  </si>
  <si>
    <t>Cepek, Michael</t>
  </si>
  <si>
    <t>Borman, Randall. ; Cofán Indians -- Politics and government. ; Amazon River Region -- Environmental conditions.</t>
  </si>
  <si>
    <t>https://ebookcentral.proquest.com/lib/viva-active/detail.action?docID=3443618</t>
  </si>
  <si>
    <t>Dancing the New World : Aztecs, Spaniards, and the Choreography of Conquest</t>
  </si>
  <si>
    <t>Scolieri, Paul A.</t>
  </si>
  <si>
    <t>Aztec dance. ; Indian dance -- Mexico. ; Dance -- Anthropological aspects -- Mexico. ; Aztecs -- First contact with Europeans. ; Mexico -- History -- Spanish colony, 1540-1810.</t>
  </si>
  <si>
    <t>https://ebookcentral.proquest.com/lib/viva-active/detail.action?docID=3443653</t>
  </si>
  <si>
    <t>Maya after War : Conflict, Power, and Politics in Guatemala</t>
  </si>
  <si>
    <t>Burrell, Jennifer L.</t>
  </si>
  <si>
    <t>Mayas -- Crimes against -- Guatemala. ; Mayas -- Violence against -- Guatemala. ; Social conflict -- Guatemala. ; Ethnic conflict -- Guatemala. ; Guatemala -- Politics and government. ; Guatemala -- Race relations. ; Guatemala -- Ethnic relations.</t>
  </si>
  <si>
    <t>https://ebookcentral.proquest.com/lib/viva-active/detail.action?docID=3443668</t>
  </si>
  <si>
    <t>Ecology of the Barí : Rainforest Horticulturalists of South America</t>
  </si>
  <si>
    <t>Beckerman, Stephen;Lizarralde, Roberto</t>
  </si>
  <si>
    <t>Motilon Indians -- Agriculture -- Venezuela -- Maracaibo Basin. ; Motilon Indians -- Venezuela -- Maracaibo Basin -- Social conditions. ; Indigenous peoples -- Ecology -- Venezuela -- Maracaibo Basin. ; Rain forest ecology -- Venezuela -- Maracaibo Basin. ; Traditional ecological knowledge -- Venezuela -- Maracaibo Basin. ; Maracaibo Basin (Venezuela) -- Environmental conditions. ; Maracaibo Basin (Venezuela) -- Social life and customs.</t>
  </si>
  <si>
    <t>https://ebookcentral.proquest.com/lib/viva-active/detail.action?docID=3443687</t>
  </si>
  <si>
    <t>Drawing with Great Needles : Ancient Tattoo Traditions of North America</t>
  </si>
  <si>
    <t>Deter-Wolf, Aaron;Diaz-Granados, Carol</t>
  </si>
  <si>
    <t>Indian art -- North America. ; Indians of North America -- Social life and customs. ; Tattooing -- North America -- History.</t>
  </si>
  <si>
    <t>https://ebookcentral.proquest.com/lib/viva-active/detail.action?docID=3443696</t>
  </si>
  <si>
    <t>Revenge of the Windigo : The Construction of the Mind and Mental Health of North American Aboriginal Peoples</t>
  </si>
  <si>
    <t>University of Toronto Press</t>
  </si>
  <si>
    <t>Anthropological Horizons</t>
  </si>
  <si>
    <t>Waldram, James, B.</t>
  </si>
  <si>
    <t>Psychology; Medicine</t>
  </si>
  <si>
    <t>Indians of North America -- Psychology. ; Indians of North America -- Mental health. ; Ethnopsychology -- History.</t>
  </si>
  <si>
    <t>https://ebookcentral.proquest.com/lib/viva-active/detail.action?docID=3443815</t>
  </si>
  <si>
    <t>A Canyon Through Time : Archaeology, History, and Ecology of the Tecolote Canyon Area, Santa Barbara County, California</t>
  </si>
  <si>
    <t>University of Utah Press</t>
  </si>
  <si>
    <t>Erlandson, Jon M.;Rick, Torben C.;Vellanoweth, Rene L.</t>
  </si>
  <si>
    <t>Tecolote Canyon (Calif.) - Antiquities</t>
  </si>
  <si>
    <t>https://ebookcentral.proquest.com/lib/viva-active/detail.action?docID=3443821</t>
  </si>
  <si>
    <t>The Architecture of Chaco Canyon, New Mexico</t>
  </si>
  <si>
    <t>Chaco Canyon Ser.</t>
  </si>
  <si>
    <t>Lekson, Stephen H.</t>
  </si>
  <si>
    <t>Chaco culture -- New Mexico -- Chaco Canyon -- Congresses. ; Chaco architecture -- New Mexico -- Chaco Canyon -- Congresses. ; Chaco Culture National Historical Park (N.M.) -- Congresses. ; Chaco Canyon (N.M.) -- Antiquities -- Congresses.</t>
  </si>
  <si>
    <t>https://ebookcentral.proquest.com/lib/viva-active/detail.action?docID=3443823</t>
  </si>
  <si>
    <t>Chaco's Northern Prodigies : Salmon, Aztec, and the Ascendancy of the Middle San Juan Region after AD 1100</t>
  </si>
  <si>
    <t>Reed, Paul F.</t>
  </si>
  <si>
    <t>Pueblo Indians -- New Mexico -- Antiquities -- Congresses. ; Pueblo Indians -- Material culture -- New Mexico -- Congresses. ; Excavations (Archaeology) -- New Mexico -- Congresses. ; Pueblo pottery -- New Mexico -- Congresses. ; Plant remains (Archaeology) -- New Mexico -- Congresses. ; Salmon Site (N.M.) -- Congresses. ; Aztec Ruins National Monument (N.M.)</t>
  </si>
  <si>
    <t>https://ebookcentral.proquest.com/lib/viva-active/detail.action?docID=3443824</t>
  </si>
  <si>
    <t>Modern Oceans, Ancient Sites : Archaeology and Marine Conservation on San Miguel Island, California</t>
  </si>
  <si>
    <t>Anthropology of Pacific North America Ser.</t>
  </si>
  <si>
    <t>Braje, Todd J.</t>
  </si>
  <si>
    <t>Indians of North America - California - San Miguel Island - Antiquities</t>
  </si>
  <si>
    <t>https://ebookcentral.proquest.com/lib/viva-active/detail.action?docID=3443826</t>
  </si>
  <si>
    <t>Foragers and Farmers of the Northern Kayenta Region : Excavations along the Navajo Mountain Road</t>
  </si>
  <si>
    <t>Geib, Phil</t>
  </si>
  <si>
    <t>Navajo Mountain Road Archaeological Project. ; Navajo Indians -- Navajo Mountain Region (Utah and Ariz.) -- Antiquities. ; Navajo Indians -- Arizona -- Kayenta Region -- Antiquities. ; Excavations (Archaeology) -- Navajo Mountain Region (Utah and Ariz.) ; Paleo-Indians -- Navajo Mountain Region (Utah and Ariz.) ; Hunting and gathering societies -- Navajo Mountain Region (Utah and Ariz.) ; Agriculture, Prehistoric -- Navajo Mountain Region (Utah and Ariz.)</t>
  </si>
  <si>
    <t>https://ebookcentral.proquest.com/lib/viva-active/detail.action?docID=3443827</t>
  </si>
  <si>
    <t>Island of Fogs : Archaeological and Ethnohistorical Investigations of Isla Cedros, Baja California</t>
  </si>
  <si>
    <t>Des Lauriers, Matthew R.</t>
  </si>
  <si>
    <t>Cedros Island (Mexico) - Economic conditions</t>
  </si>
  <si>
    <t>https://ebookcentral.proquest.com/lib/viva-active/detail.action?docID=3443836</t>
  </si>
  <si>
    <t>Mopan Maya-Spanish-English Dictionary</t>
  </si>
  <si>
    <t xml:space="preserve">Hofling, Charles A.;Johnson, Helen </t>
  </si>
  <si>
    <t>Mopan dialect -- Dictionaries -- Spanish. ; Spanish language -- Dictionaries -- Mopan. ; Maya language -- Dictionaries -- English. ; English language -- Dictionaries -- Maya. ; Mopan dialect -- Grammar.</t>
  </si>
  <si>
    <t>https://ebookcentral.proquest.com/lib/viva-active/detail.action?docID=3443843</t>
  </si>
  <si>
    <t>Two Toms : Lessons from a Shoshone Doctor</t>
  </si>
  <si>
    <t>Johnson, Thomas H.;Johnson, Helen S.</t>
  </si>
  <si>
    <t>Wesaw, Tom, -- 1886-1973. ; Johnson, Thomas Hoevet, -- 1943- ; Shoshoni Indians -- Biography. ; Indian physicians -- Biography. ; Indian religious leaders -- Biography. ; Anthropologists -- Wyoming -- Biography. ; Shoshoni Indians -- Social life and customs.</t>
  </si>
  <si>
    <t>https://ebookcentral.proquest.com/lib/viva-active/detail.action?docID=3443845</t>
  </si>
  <si>
    <t>Perspectives on Prehistoric Trade and Exchange in California and the Great Basin</t>
  </si>
  <si>
    <t>Hughes, Richard E.;Beck, Charlotte;Eerkens, Jelmer W;Fowler, Catherine S;Gilreath, Amy J;Hattori, Eugene M</t>
  </si>
  <si>
    <t>Commerce, Prehistoric -- California. ; Commerce, Prehistoric -- Great Basin. ; Indians of North America -- Commerce -- California. ; Indians of North America -- Commerce -- Great Basin. ; California -- Antiquities. ; Great Basin -- Antiquities.</t>
  </si>
  <si>
    <t>https://ebookcentral.proquest.com/lib/viva-active/detail.action?docID=3443846</t>
  </si>
  <si>
    <t>Power and Identity in Archaeological Theory and Practice : Case Studies from Ancient Mesoamerica</t>
  </si>
  <si>
    <t>Foundations of Archaeological Inquiry Ser.</t>
  </si>
  <si>
    <t>Harrison-Buck, Eleanor</t>
  </si>
  <si>
    <t>Indians of Mexico -- History -- Case studies. ; Indians of Mexico -- Politics and government -- Case studies. ; Indians of Mexico -- Antiquities -- Case studies. ; Power (Social sciences) -- Mexico -- History -- Case studies. ; Group identity -- Mexico -- History -- Case studies. ; Social archaeology -- Mexico -- Case studies.</t>
  </si>
  <si>
    <t>https://ebookcentral.proquest.com/lib/viva-active/detail.action?docID=3443848</t>
  </si>
  <si>
    <t>Northern Paiute-Bannock Dictionary</t>
  </si>
  <si>
    <t>Liljeblad, Sven;Fowler, Catherine S.;Powell, Glenda;Powell, Glenda</t>
  </si>
  <si>
    <t>Northern Paiute language -- Dictionaries -- English. ; English language -- Dictionaries -- Northern Paiute. ; Northern Paiute Indians -- Languages. ; Indians of North America -- Nevada.</t>
  </si>
  <si>
    <t>https://ebookcentral.proquest.com/lib/viva-active/detail.action?docID=3443851</t>
  </si>
  <si>
    <t>Sherman Alexie : A Collection of Critical Essays</t>
  </si>
  <si>
    <t>Berglund, Jeff;Roush, Jan</t>
  </si>
  <si>
    <t>Alexie, Sherman, -- 1966- -- Criticism and interpretation. ; Indians in literature.</t>
  </si>
  <si>
    <t>https://ebookcentral.proquest.com/lib/viva-active/detail.action?docID=3443853</t>
  </si>
  <si>
    <t>Life's Journey--Zuya : Oral Teachings from Rosebud</t>
  </si>
  <si>
    <t>Cunningham, John;White Hat Sr, Albert</t>
  </si>
  <si>
    <t>White Hat, Albert -- Anecdotes. ; Teton Indians -- History. ; Teton Indians -- Folklore. ; Teton Indians -- Social life and customs.</t>
  </si>
  <si>
    <t>https://ebookcentral.proquest.com/lib/viva-active/detail.action?docID=3443855</t>
  </si>
  <si>
    <t>Meetings at the Margins : Prehistoric Cultural Interactions in the Intermountain West</t>
  </si>
  <si>
    <t>Rhode, David</t>
  </si>
  <si>
    <t>Paleo-Indians -- Great Basin -- Migrations. ; Paleo-Indians -- Implements -- Great Basin. ; Paleo-Indians -- Commerce -- Great Basin. ; Indian pottery -- Great Basin. ; Excavations (Archaeology) -- Great Basin. ; Great Basin -- Antiquities.</t>
  </si>
  <si>
    <t>https://ebookcentral.proquest.com/lib/viva-active/detail.action?docID=3443858</t>
  </si>
  <si>
    <t>Winds from the North : Tewa Origins and Historical Anthropology</t>
  </si>
  <si>
    <t>Ortman, Scott G.</t>
  </si>
  <si>
    <t>Tewa Indians -- Origin. ; Tewa Indians -- Migrations. ; Tewa Indians -- Antiquities. ; Tewa language -- History. ; Mesa Verde National Park (Colo.) -- Antiquities.</t>
  </si>
  <si>
    <t>https://ebookcentral.proquest.com/lib/viva-active/detail.action?docID=3443859</t>
  </si>
  <si>
    <t>Navajo Tradition, Mormon Life : The Autobiography and Teachings of Jim Dandy</t>
  </si>
  <si>
    <t>McPherson, Robert S.;Dandy, Jim;Burak, Sarah E.</t>
  </si>
  <si>
    <t>Dandy, Jim. ; Mormons -- Biography. ; Navajo Indians -- Biography.</t>
  </si>
  <si>
    <t>https://ebookcentral.proquest.com/lib/viva-active/detail.action?docID=3443867</t>
  </si>
  <si>
    <t>Becoming White Clay : A History and Archaeology of Jicarilla Apache Enclavement</t>
  </si>
  <si>
    <t>Eiselt, B. Sunday</t>
  </si>
  <si>
    <t>Excavations (Archaeology) - Chama Valley (Colo. and N.M.)</t>
  </si>
  <si>
    <t>https://ebookcentral.proquest.com/lib/viva-active/detail.action?docID=3443868</t>
  </si>
  <si>
    <t>From the Land of Ever Winter to the American Southwest : Athapaskan Migrations, Mobility, and Ethnogenesis</t>
  </si>
  <si>
    <t>Seymour, Deni J.</t>
  </si>
  <si>
    <t>Athapascan Indians -- Southwest, New -- Origin. ; Athapascan Indians -- Southwest, New -- Migrations. ; Athapascan Indians -- Southwest, New -- Antiquities. ; Excavations (Archaeology) -- Southwest, New. ; Southwest, New -- Antiquities.</t>
  </si>
  <si>
    <t>https://ebookcentral.proquest.com/lib/viva-active/detail.action?docID=3443871</t>
  </si>
  <si>
    <t>Field Seasons : Reflections on Career Paths and Research in American Archaeology</t>
  </si>
  <si>
    <t>Prentiss, Anna Marie</t>
  </si>
  <si>
    <t>Archaeologists - Education - United States</t>
  </si>
  <si>
    <t>https://ebookcentral.proquest.com/lib/viva-active/detail.action?docID=3443872</t>
  </si>
  <si>
    <t>People of the Water : Change and Continuity among the Uru-Chipayans of Bolivia</t>
  </si>
  <si>
    <t>Bastien, Joseph</t>
  </si>
  <si>
    <t>Chipaya Indians -- Religion. ; Chipaya Indians -- Rites and ceremonies. ; Chipaya Indians -- Social life and customs. ; Indigenous peoples -- Ecology -- Bolivia -- Chipaya. ; Traditional farming -- Bolivia -- Chipaya. ; Traditional medicine -- Bolivia -- Chipaya. ; Chipaya (Bolivia) -- Social life and customs.</t>
  </si>
  <si>
    <t>https://ebookcentral.proquest.com/lib/viva-active/detail.action?docID=3443874</t>
  </si>
  <si>
    <t>Nine Mile Canyon : The Archaeological History of an American Treasure</t>
  </si>
  <si>
    <t>Spangler, Jerry D.</t>
  </si>
  <si>
    <t>Nine Mile Canyon (Utah) - Antiquities</t>
  </si>
  <si>
    <t>https://ebookcentral.proquest.com/lib/viva-active/detail.action?docID=3443875</t>
  </si>
  <si>
    <t>Paleoindian Lifeways of the Cody Complex</t>
  </si>
  <si>
    <t>Knell, Edward J.;Muñiz, Mark P.;Muñiz, Mark P.</t>
  </si>
  <si>
    <t>Projectile points - Prairie Provinces</t>
  </si>
  <si>
    <t>https://ebookcentral.proquest.com/lib/viva-active/detail.action?docID=3443879</t>
  </si>
  <si>
    <t>In the Eastern Fluted Point Tradition</t>
  </si>
  <si>
    <t>Gingerich, Joseph A. M.</t>
  </si>
  <si>
    <t>Paleo-Indians - Implements - East (U.S.)</t>
  </si>
  <si>
    <t>https://ebookcentral.proquest.com/lib/viva-active/detail.action?docID=3443880</t>
  </si>
  <si>
    <t>A Frontier Life : Jacob Hamblin, Explorer and Indian Missionary</t>
  </si>
  <si>
    <t>Compton, Todd M.</t>
  </si>
  <si>
    <t>Hamblin, Jacob</t>
  </si>
  <si>
    <t>https://ebookcentral.proquest.com/lib/viva-active/detail.action?docID=3443884</t>
  </si>
  <si>
    <t>Kinship Systems : Change and Reconstruction</t>
  </si>
  <si>
    <t>McConvell, Patrick;Keen, Ian;Henderey, Rachel</t>
  </si>
  <si>
    <t>Kinship. ; Kinship -- Terminology. ; Anthropological linguistics. ; Comparative linguistics. ; Language and culture.</t>
  </si>
  <si>
    <t>https://ebookcentral.proquest.com/lib/viva-active/detail.action?docID=3443886</t>
  </si>
  <si>
    <t>Archaeology in the Great Basin and Southwest : Papers in Honor of Don D. Fowler</t>
  </si>
  <si>
    <t>Parezo, Nancy J.;Janetski, Joel C.</t>
  </si>
  <si>
    <t>Archaeology -- Great Basin. ; Archaeology -- Southwest, New. ; Indians of North America -- Great Basin -- Antiquities. ; Indians of North America -- Southwest, New -- Antiquities. ; Paleo-Indians -- Great Basin. ; Paleo-Indians -- Southwest, New. ; Great Basin -- Antiquities.</t>
  </si>
  <si>
    <t>https://ebookcentral.proquest.com/lib/viva-active/detail.action?docID=3443903</t>
  </si>
  <si>
    <t>Supplying Custer : The Powder River Supply Depot 1876</t>
  </si>
  <si>
    <t>Clark, Gerald R.</t>
  </si>
  <si>
    <t>United States. -- Army -- Supplies and stores -- History -- 19th century. ; Dakota Indians -- Wars, 1876 -- Antiquities. ; Dakota Indians -- Wars, 1876 -- Equipment and supplies. ; Excavations (Archaeology) -- Montana -- Prairie County. ; Little Bighorn, Battle of the, Mont., 1876. ; Prairie County (Mont.) -- Antiquities. ; Powder River Valley (Wyo. and Mont.) -- History, Military -- 19th century.</t>
  </si>
  <si>
    <t>https://ebookcentral.proquest.com/lib/viva-active/detail.action?docID=3443910</t>
  </si>
  <si>
    <t>Life and Politics at the Royal Court of Aguateca : Artifacts, Analytical Data, and Synthesis</t>
  </si>
  <si>
    <t>Inomata, Takeshi;Triadan, Daniela</t>
  </si>
  <si>
    <t>Mayas -- Guatemala -- Antiquities. ; Excavations (Archaeology) -- Guatemala -- Aguateca Site. ; Aguateca Site (Guatemala)</t>
  </si>
  <si>
    <t>https://ebookcentral.proquest.com/lib/viva-active/detail.action?docID=3443913</t>
  </si>
  <si>
    <t>A Fateful Day In 1698 : The Remarkable Sobaipuri-O'odham Victory over the Apaches and Their Allies</t>
  </si>
  <si>
    <t>Apache Indians - History - 17th century</t>
  </si>
  <si>
    <t>https://ebookcentral.proquest.com/lib/viva-active/detail.action?docID=3443921</t>
  </si>
  <si>
    <t>Language and Ethnicity among the K'ichee' Maya</t>
  </si>
  <si>
    <t>Romero, Sergio</t>
  </si>
  <si>
    <t>Quichae language - Social aspects</t>
  </si>
  <si>
    <t>https://ebookcentral.proquest.com/lib/viva-active/detail.action?docID=3443924</t>
  </si>
  <si>
    <t>Acts of Narrative Resistance : Women's Autobiographical Writings in the Americas</t>
  </si>
  <si>
    <t>University of Virginia Press</t>
  </si>
  <si>
    <t>New World Studies</t>
  </si>
  <si>
    <t>Beard, Laura J.</t>
  </si>
  <si>
    <t>Autobiography -- Women authors. ; Autobiography -- Political aspects. ; Latin American prose literature -- Women authors -- History and criticism. ; Latin American prose literature -- 20th century -- History and criticism. ; Canadian prose literature -- Women authors -- History and criticism. ; Canadian prose literature -- 20th century -- History and criticism. ; Women -- America -- Biography -- History and criticism.</t>
  </si>
  <si>
    <t>https://ebookcentral.proquest.com/lib/viva-active/detail.action?docID=3443943</t>
  </si>
  <si>
    <t>Revolutionary Negotiations : Indians, Empires, and Diplomats in the Founding of America</t>
  </si>
  <si>
    <t>Jeffersonian America</t>
  </si>
  <si>
    <t>Sadosky, Leonard J.</t>
  </si>
  <si>
    <t>United States - Foreign relations - To 1775</t>
  </si>
  <si>
    <t>https://ebookcentral.proquest.com/lib/viva-active/detail.action?docID=3443995</t>
  </si>
  <si>
    <t>Brothers Born of One Mother : British–Native American Relations in the Colonial Southeast</t>
  </si>
  <si>
    <t>Early American Histories</t>
  </si>
  <si>
    <t>LeMaster, Michelle</t>
  </si>
  <si>
    <t>Social Science; Psychology</t>
  </si>
  <si>
    <t>Femininity - Southern States - History</t>
  </si>
  <si>
    <t>https://ebookcentral.proquest.com/lib/viva-active/detail.action?docID=3444038</t>
  </si>
  <si>
    <t>The Fishermen's Frontier : People and Salmon in Southeast Alaska</t>
  </si>
  <si>
    <t>University of Washington Press</t>
  </si>
  <si>
    <t>Weyerhaeuser Environmental Bks.</t>
  </si>
  <si>
    <t>Arnold, David F.;Cronon, William</t>
  </si>
  <si>
    <t>Pacific salmon fisheries -- Alaska, Southeast -- History. ; Fishery management -- Alaska, Southeast -- History. ; Tlingit Indians -- Fishing -- Alaska, Southeast -- History. ; Haida Indians -- Fishing -- Alaska, Southeast -- History. ; Traditional ecological knowledge -- Alaska, Southeast -- History.</t>
  </si>
  <si>
    <t>https://ebookcentral.proquest.com/lib/viva-active/detail.action?docID=3444258</t>
  </si>
  <si>
    <t>A Lawyer in Indian Country : A Memoir</t>
  </si>
  <si>
    <t>Ziontz, Alvin J.;Wilkinson, Charles</t>
  </si>
  <si>
    <t>Ziontz, Alvin J. ; Lawyers -- United States -- Biography. ; Indians of North America -- Civil rights. ; Indians of North America -- Legal status, laws, etc.</t>
  </si>
  <si>
    <t>https://ebookcentral.proquest.com/lib/viva-active/detail.action?docID=3444265</t>
  </si>
  <si>
    <t>Shadow Tribe : The Making of Columbia River Indian Identity</t>
  </si>
  <si>
    <t>Emil and Kathleen Sick Book Series in Western History and Biography Ser.</t>
  </si>
  <si>
    <t>Fisher, Andrew H.</t>
  </si>
  <si>
    <t>Tribal government - Columbia River Valley</t>
  </si>
  <si>
    <t>https://ebookcentral.proquest.com/lib/viva-active/detail.action?docID=3444309</t>
  </si>
  <si>
    <t>Moveable Empire : Ottoman Nomads, Migrants, and Refugees</t>
  </si>
  <si>
    <t>Studies in Modernity and National Identity Ser.</t>
  </si>
  <si>
    <t>Kasaba, Resat</t>
  </si>
  <si>
    <t>Nomads -- Turkey -- History. ; Internal migrants -- Turkey -- History. ; Migration, Internal -- Turkey -- History. ; Turkey -- History -- Ottoman Empire, 1288-1918. ; Turkey -- Social conditions -- 1288-1918.</t>
  </si>
  <si>
    <t>https://ebookcentral.proquest.com/lib/viva-active/detail.action?docID=3444315</t>
  </si>
  <si>
    <t>Vigilant Things : On Thieves, Yoruba Anti-Aesthetics, and the Strange Fates of Ordinary Objects In Nigeria</t>
  </si>
  <si>
    <t>Doris, David T.</t>
  </si>
  <si>
    <t>Yoruba (African people) -- Material culture. ; Art, Yoruba. ; Philosophy, Yoruba. ; Yoruba (African people) -- Communication. ; Yoruba (African people) -- Social life and customs.</t>
  </si>
  <si>
    <t>https://ebookcentral.proquest.com/lib/viva-active/detail.action?docID=3444334</t>
  </si>
  <si>
    <t>Native Seattle : Histories from the Crossing-Over Place</t>
  </si>
  <si>
    <t>Thrush, Coll;Cronon, William</t>
  </si>
  <si>
    <t>Indians of North America -- Washington (State) -- Seattle -- History. ; Indians of North America -- Washington (State) -- Seattle -- Antiquities. ; Indians of North America -- Washington (State) -- Seattle -- Social life and customs. ; Seattle (Wash.) -- History. ; Seattle (Wash.) -- Antiquities. ; Seattle (Wash.) -- Social life and customs.</t>
  </si>
  <si>
    <t>https://ebookcentral.proquest.com/lib/viva-active/detail.action?docID=3444367</t>
  </si>
  <si>
    <t>Bringing Indians to the Book</t>
  </si>
  <si>
    <t>Furtwangler, Albert</t>
  </si>
  <si>
    <t>Missionaries - Northwest, Pacific - History</t>
  </si>
  <si>
    <t>https://ebookcentral.proquest.com/lib/viva-active/detail.action?docID=3444389</t>
  </si>
  <si>
    <t>Dreaming of Sheep in Navajo Country : Dreaming of Sheep In Navajo Country</t>
  </si>
  <si>
    <t>Weisiger, Marsha;Cronon, William</t>
  </si>
  <si>
    <t>Navajo Indians -- Land tenure. ; Navajo Indians -- Domestic animals. ; Land use -- Navajo Indian Reservation -- History. ; Navajo Indian Reservation -- History.</t>
  </si>
  <si>
    <t>https://ebookcentral.proquest.com/lib/viva-active/detail.action?docID=3444391</t>
  </si>
  <si>
    <t>Death of Celilo Falls : Death of Celilo Falls</t>
  </si>
  <si>
    <t>Barber, Katrine</t>
  </si>
  <si>
    <t>Celilo Falls Indian Relocation Project -- History. ; Indians of North America -- Fishing -- Oregon -- Celilo. ; Indians of North America -- Land tenure -- Oregon -- Celilo. ; Indians of North America -- Relocation -- Oregon -- Celilo. ; Salmon fishing -- Oregon -- Celilo. ; Fishery law and legislation -- Oregon -- Celilo. ; Water rights -- Oregon -- Celilo.</t>
  </si>
  <si>
    <t>https://ebookcentral.proquest.com/lib/viva-active/detail.action?docID=3444408</t>
  </si>
  <si>
    <t>The Power of Promises : Rethinking Indian Treaties in the Pacific Northwest</t>
  </si>
  <si>
    <t>Harmon, Alexandra;Borrows, John</t>
  </si>
  <si>
    <t>Indians of North America -- Northwest, Pacific -- Treaties. ; Indians of North America -- Northwest, Pacific -- Government relations. ; Indians of North America -- Northwest, Pacific -- Foreign relations.</t>
  </si>
  <si>
    <t>https://ebookcentral.proquest.com/lib/viva-active/detail.action?docID=3444412</t>
  </si>
  <si>
    <t>Property and Politics in Sabah, Malaysia : Native Struggles over Land Rights</t>
  </si>
  <si>
    <t>Culture, Place, and Nature Ser.</t>
  </si>
  <si>
    <t>Doolittle, Amity A.;Sivaramakrishnan, K.</t>
  </si>
  <si>
    <t>Land tenure -- Law and legislation -- Malaysia -- Sabah. ; Adat law -- Malaysia -- Sabah.</t>
  </si>
  <si>
    <t>https://ebookcentral.proquest.com/lib/viva-active/detail.action?docID=3444414</t>
  </si>
  <si>
    <t>Keeping It Living : Traditions of Plant Use and Cultivation on the Northwest Coast of North America</t>
  </si>
  <si>
    <t>Deur, Douglas E.;Turner, Nancy J.</t>
  </si>
  <si>
    <t>Science: Botany; History; Science</t>
  </si>
  <si>
    <t>Indians of North America -- Ethnobotany -- Northwest Coast of North America. ; Indians of North America -- Agriculture -- Northwest Coast of North America. ; Indians of North America -- Food -- Northwest Coast of North America. ; Plants, Cultivated -- Northwest Coast of North America. ; Plants, Useful -- Northwest Coast of North America.</t>
  </si>
  <si>
    <t>https://ebookcentral.proquest.com/lib/viva-active/detail.action?docID=3444426</t>
  </si>
  <si>
    <t>Being and Place among the Tlingit</t>
  </si>
  <si>
    <t>Thornton, Thomas F.;Sealaska Heritage Institute</t>
  </si>
  <si>
    <t>Tlingit Indians -- Social life and customs. ; Names, Geographical -- Social aspects -- Alaska. ; Cultural property -- Alaska. ; Geographical perception -- Alaska. ; Alaska -- Social life and customs.</t>
  </si>
  <si>
    <t>https://ebookcentral.proquest.com/lib/viva-active/detail.action?docID=3444437</t>
  </si>
  <si>
    <t>The People Are Dancing Again : The History of the Siletz Tribe of Western Oregon</t>
  </si>
  <si>
    <t>Wilkinson, Charles;Wilkinson, Charles F.</t>
  </si>
  <si>
    <t>Siletz Indians -- History. ; Siletz Indians -- Government relations. ; Siletz Indians -- Politics and government. ; Indians of North America -- Oregon -- History. ; Indians of North America -- Oregon -- Government relations. ; Indians of North America -- Oregon -- Politics and government.</t>
  </si>
  <si>
    <t>https://ebookcentral.proquest.com/lib/viva-active/detail.action?docID=3444449</t>
  </si>
  <si>
    <t>Enclosed : Conservation, Cattle, and Commerce among the Q'eqchi' Maya Lowlanders</t>
  </si>
  <si>
    <t>Grandia, Liza;Sivaramakrishnan, K.;Sivaramakrishnan, K.</t>
  </si>
  <si>
    <t>Economics</t>
  </si>
  <si>
    <t>Free trade - Guatemala</t>
  </si>
  <si>
    <t>https://ebookcentral.proquest.com/lib/viva-active/detail.action?docID=3444454</t>
  </si>
  <si>
    <t>Bartering with the Bones of Their Dead : The Colville Confederated Tribes and Termination</t>
  </si>
  <si>
    <t>Arnold, Laurie</t>
  </si>
  <si>
    <t>Colville Indians -- Government relations. ; Colville Indians -- Legal status, laws, etc. -- Washington (State) -- Colville Indian Reservation. ; Colville Indians -- Politics and government. ; Indian termination policy -- Washington (State) -- Colville Indian Reservation. ; Self-determination, National -- Washington (State) -- Colville Indian Reservation. ; Colville Indian Reservation (Wash.) ; Colville Indian Reservation (Wash.) -- History.</t>
  </si>
  <si>
    <t>https://ebookcentral.proquest.com/lib/viva-active/detail.action?docID=3444499</t>
  </si>
  <si>
    <t>B Street : The Notorious Playground of Coulee Dam</t>
  </si>
  <si>
    <t>Naomi B. Pascal Editor's Endowment Ser.</t>
  </si>
  <si>
    <t>Reyes, Lawney L.</t>
  </si>
  <si>
    <t>Colville Indians -- History. ; Colville Indians -- Government relations. ; Water resources development -- Columbia River Watershed -- History. ; Colville Indian Reservation (Wash.) -- History. ; Grand Coulee Dam (Wash.) -- History. ; Grand Coulee (Wash.) -- History. ; Grand Coulee (Wash.) -- Ethnic relations.</t>
  </si>
  <si>
    <t>https://ebookcentral.proquest.com/lib/viva-active/detail.action?docID=3444502</t>
  </si>
  <si>
    <t>Qaluyaarmiuni Nunamtenek Qanemciput / Our Nelson Island Stories : Meanings of Place on the Bering Sea Coast</t>
  </si>
  <si>
    <t>Fienup-Riordan, Ann;Rearden, Alice;Rearden, Alice</t>
  </si>
  <si>
    <t>Geographical perception -- Alaska -- Nelson Island. ; Place attachment -- Alaska -- Nelson Island. ; Yupik Eskimos -- Alaska -- Nelson Island -- Interviews. ; Yupik Eskimos -- Alaska -- Nelson Island -- History. ; Yupik Eskimos -- Alaska -- Nelson Island -- Social life and customs. ; Yupik languages -- Texts. ; Nelson Island (Alaska) -- History.</t>
  </si>
  <si>
    <t>https://ebookcentral.proquest.com/lib/viva-active/detail.action?docID=3444518</t>
  </si>
  <si>
    <t>Lijiang Stories : Shamans, Taxi Drivers, and Runaway Brides in Reform-Era China</t>
  </si>
  <si>
    <t>Studies on Ethnic Groups in China Ser.</t>
  </si>
  <si>
    <t>Chao, Emily;Harrell, Stevan</t>
  </si>
  <si>
    <t>Naxi (Chinese people) -- China -- Lijiang Shi -- Government relations. ; Naxi (Chinese people) -- China -- Lijiang Shi -- Economic conditions. ; Naxi (Chinese people) -- China -- Lijiang Shi -- Social life and customs. ; Post-communisim -- China -- Lijiang Shi. ; Lijiang Shi (China) -- Ethnic relations. ; Lijiang Shi (China) -- Social conditions.</t>
  </si>
  <si>
    <t>https://ebookcentral.proquest.com/lib/viva-active/detail.action?docID=3444519</t>
  </si>
  <si>
    <t>Our Yup'Ik World and Weather : Continuity and Change on the Bering Sea Coast</t>
  </si>
  <si>
    <t>Fienup-Riordan, Ann;Rearden, Alice;Fienup-Riordan Ann Rearden Alice,;Rearden, Alice</t>
  </si>
  <si>
    <t>Yupik Eskimos -- Science -- Alaska -- Bering Sea Coast. ; Yupik Eskimos -- Alaska -- Bering Sea Coast -- Social conditions. ; Indigenous peoples -- Ecology -- Alaska -- Bering Sea Coast. ; Climatic changes -- Alaska -- Bering Sea Coast. ; Global environmental change. ; Bering Sea Coast (Alaska) -- Environmental conditions.</t>
  </si>
  <si>
    <t>https://ebookcentral.proquest.com/lib/viva-active/detail.action?docID=3444522</t>
  </si>
  <si>
    <t>Tulalip, from My Heart : An Autobiographical Account of a Reservation Community</t>
  </si>
  <si>
    <t>Dover, Harriette Shelton;Fitzpatrick, Darleen;Williams, Wayne</t>
  </si>
  <si>
    <t>Dover, Harriette Shelton, -- 1904-1991. ; Tulalip Indian School (Wash.) -- History. ; Tulalip Indians -- Kings and rulers -- Biography. ; Indian women -- Washington (State) -- Tulalip Indian Reservation -- Biography. ; Tulalip Tribes of the Tulalip Reservation, Washington -- History. ; Tulalip Indian Reservation (Wash.) -- History. ; Tulalip Indian Reservation (Wash.) -- Social life and customs.</t>
  </si>
  <si>
    <t>https://ebookcentral.proquest.com/lib/viva-active/detail.action?docID=3444544</t>
  </si>
  <si>
    <t>Wiyaxayxt / Wiyaakaa'awn / As Days Go By : Our History, Our Land, Our People--The Cayuse, Umatilla, and Walla Walla</t>
  </si>
  <si>
    <t>Jennifer, Karson</t>
  </si>
  <si>
    <t>Indians of North America -- Oregon -- Interviews. ; Indians of North America -- Washington (State) -- Interviews. ; Oral history -- Oregon. ; Oral history -- Washington (State) ; Oral tradition -- Oregon. ; Oral tradition -- Washington (State) ; Confederated Tribes of the Umatilla Reservation, Oregon -- History.</t>
  </si>
  <si>
    <t>https://ebookcentral.proquest.com/lib/viva-active/detail.action?docID=3444598</t>
  </si>
  <si>
    <t>Being Cowlitz : How One Tribe Renewed and Sustained Its Identity</t>
  </si>
  <si>
    <t>Dupres, Christine</t>
  </si>
  <si>
    <t>Cowlitz Indians -- History. ; Cowlitz Indians -- Ethnic identity. ; Cowlitz Indians -- Social life and customs. ; Cowlitz Indians -- Folklore. ; Cowlitz Indian Tribe, Washington -- History.</t>
  </si>
  <si>
    <t>https://ebookcentral.proquest.com/lib/viva-active/detail.action?docID=3444611</t>
  </si>
  <si>
    <t>Education at the Edge of Empire : Negotiating Pueblo Identity in New Mexico's Indian Boarding Schools</t>
  </si>
  <si>
    <t>Indigenous Confluences Ser.</t>
  </si>
  <si>
    <t>Gram, John R.;Jojola, Theodore;Jojola, Theodore</t>
  </si>
  <si>
    <t>Albuquerque Indian School -- History. ; Santa Fe Indian School -- History. ; Pueblo Indians -- Education -- History. ; Off-reservation boarding schools -- New Mexico -- History. ; Pueblo Indians -- Ethnic identity. ; Pueblo Indians -- Cultural assimilation. ; Community and school -- New Mexico -- History.</t>
  </si>
  <si>
    <t>https://ebookcentral.proquest.com/lib/viva-active/detail.action?docID=3444646</t>
  </si>
  <si>
    <t>A Chemehuevi Song : The Resilience of a Southern Paiute Tribe</t>
  </si>
  <si>
    <t>Trafzer, Clifford E.;Myers, Larry;Myers, Larry</t>
  </si>
  <si>
    <t>Chemehuevi Indians -- History. ; Chemehuevi Indians -- Government relations. ; Chemehuevi Indians -- Ethnic identity.</t>
  </si>
  <si>
    <t>https://ebookcentral.proquest.com/lib/viva-active/detail.action?docID=3444648</t>
  </si>
  <si>
    <t>Spirits of Earth : The Effigy Mound Landscape of Madison and the Four Lakes</t>
  </si>
  <si>
    <t>University of Wisconsin Press</t>
  </si>
  <si>
    <t>Wisconsin Land and Life Ser.</t>
  </si>
  <si>
    <t xml:space="preserve">Birmingham, Robert A.;Alanen, Arnold R. </t>
  </si>
  <si>
    <t>Mounds -- Wisconsin -- Madison Region. ; Earthworks (Archaeology) -- Wisconsin -- Madison Region. ; Indians of North America -- Wisconsin -- Madison Region -- Antiquities. ; Madison Region (Wis.) -- Antiquities.</t>
  </si>
  <si>
    <t>https://ebookcentral.proquest.com/lib/viva-active/detail.action?docID=3444981</t>
  </si>
  <si>
    <t>Being Colonized : The Kuba Experience in Rural Congo, 1880-1960</t>
  </si>
  <si>
    <t>Africa and the Diaspora: History, Politics, Culture Ser.</t>
  </si>
  <si>
    <t xml:space="preserve">Vansina, Jan;Spear, Thomas ;Henige, David ;Schatzberg, Michael G. </t>
  </si>
  <si>
    <t>Kuba (African people) -- Congo (Democratic Republic) -- Social conditions. ; Congo (Democratic Republic) -- Colonization. ; Congo (Democratic Republic) -- History -- To 1908. ; Congo (Democratic Republic) -- History -- 1908-1960.</t>
  </si>
  <si>
    <t>https://ebookcentral.proquest.com/lib/viva-active/detail.action?docID=3444987</t>
  </si>
  <si>
    <t>Settler Colonial Governance in Nineteenth-Century Victoria</t>
  </si>
  <si>
    <t>ANU Press</t>
  </si>
  <si>
    <t>Boucher, Leigh;Russell, Lynette</t>
  </si>
  <si>
    <t>Aboriginal Australians -- Australia -- Victoria -- Government relations -- History. ; Aboriginal Australians -- Government policy -- Australia -- Victoria -- History. ; Aboriginal Australians, Treatment of -- Australia -- Victoria -- History. ; Victoria -- Politics and government -- 19th century.</t>
  </si>
  <si>
    <t>https://ebookcentral.proquest.com/lib/viva-active/detail.action?docID=3543949</t>
  </si>
  <si>
    <t>Indigenous Australians and the National Disability Insurance Scheme</t>
  </si>
  <si>
    <t>Centre for Aboriginal Economic Policy Research (CAEPR)</t>
  </si>
  <si>
    <t>Biddle, N.;Al-Yaman, F.;Gourley, M.</t>
  </si>
  <si>
    <t>Aboriginal Australians with disabilities -- Services for -- Australia. ; Aboriginal Australians with disabilities -- Care -- Australia. ; Aboriginal Australians with disabilities -- Government policy -- Australia. ; Long-term care insurance -- Law and legislation -- Australia.</t>
  </si>
  <si>
    <t>https://ebookcentral.proquest.com/lib/viva-active/detail.action?docID=3543951</t>
  </si>
  <si>
    <t>Divine Domesticities : Christian Paradoxes in Asia and the Pacific</t>
  </si>
  <si>
    <t>Choi, Hyaeweol;Jolly, Margaret</t>
  </si>
  <si>
    <t>Indigenous women -- Asia. ; Indigenous women -- Pacific Area. ; Missions -- Asia. ; Missions -- Pacific Area. ; Indigenous women.</t>
  </si>
  <si>
    <t>https://ebookcentral.proquest.com/lib/viva-active/detail.action?docID=3543956</t>
  </si>
  <si>
    <t>From 'Stone-Age' to 'Real-Time' : Exploring Papuan Temporalities, Mobilities and Religiosities</t>
  </si>
  <si>
    <t>Slama, Martin;Munro, Jenny</t>
  </si>
  <si>
    <t>Migration, Internal -- Indonesia -- Papua. ; Religion and culture -- Indonesia -- Papua. ; Papua (Indonesia) -- Social life and customs. ; Papua (Indonesia) -- Civilization. ; Papua (Indonesia) -- History.</t>
  </si>
  <si>
    <t>https://ebookcentral.proquest.com/lib/viva-active/detail.action?docID=3543964</t>
  </si>
  <si>
    <t>Wives and Wanderers in a New Guinea Highlands Society</t>
  </si>
  <si>
    <t>Reay, Marie Olive</t>
  </si>
  <si>
    <t>Wahgi (Papua New Guinean people) -- Social life and customs. ; Women -- Papua New Guinea -- Social conditions. ; Women -- Papua New Guinea -- Social life and customs. ; Women -- Papua New Guinea -- Wahgi River Valley.</t>
  </si>
  <si>
    <t>https://ebookcentral.proquest.com/lib/viva-active/detail.action?docID=3543969</t>
  </si>
  <si>
    <t>Bushman Letters : Interpreting |Xam Narrative</t>
  </si>
  <si>
    <t>Wits University Press</t>
  </si>
  <si>
    <t>Wessels, Michael</t>
  </si>
  <si>
    <t>Bleek, W. H. I. -- (Wilhelm Heinrich Immanuel), -- 1827-1875. ; Bleek, D. F. -- (Dorothea Frances), -- 1873-1948. ; Lloyd, Lucy, -- 1834-1914. ; Oral history -- South Africa. ; San (African people) -- Folklore. ; San (African people) -- Social life and customs. ; San (African people) -- History.</t>
  </si>
  <si>
    <t>https://ebookcentral.proquest.com/lib/viva-active/detail.action?docID=3545158</t>
  </si>
  <si>
    <t>Reader's Guide to the Novels of Louise Erdrich</t>
  </si>
  <si>
    <t>Beidler, Peter G.;Barton, Gay</t>
  </si>
  <si>
    <t>Indians in literature--Handbooks, manuals, etc.</t>
  </si>
  <si>
    <t>https://ebookcentral.proquest.com/lib/viva-active/detail.action?docID=3570939</t>
  </si>
  <si>
    <t>The Ioway in Missouri</t>
  </si>
  <si>
    <t>Olson, Greg</t>
  </si>
  <si>
    <t>Indians, Treatment of - Missouri</t>
  </si>
  <si>
    <t>https://ebookcentral.proquest.com/lib/viva-active/detail.action?docID=3571012</t>
  </si>
  <si>
    <t>Real Native Genius : How an Ex-Slave and a White Mormon Became Famous Indians</t>
  </si>
  <si>
    <t>Tubbee, Okah, -- 1810 or 1811- ; Tubbee, Laah Ceil Manatoi Elaah, -- 1817- ; Indians of North America -- 19th century -- Biography. ; Indians of North America -- Ethnic identity. ; Indians in popular culture -- 19th century.</t>
  </si>
  <si>
    <t>https://ebookcentral.proquest.com/lib/viva-active/detail.action?docID=3571160</t>
  </si>
  <si>
    <t>Gardens of New Spain : How Mediterranean Plants and Foods Changed America</t>
  </si>
  <si>
    <t>Dunmire, William W.;Dunmire, Evangeline L.</t>
  </si>
  <si>
    <t>Agriculture--New Spain--History.</t>
  </si>
  <si>
    <t>https://ebookcentral.proquest.com/lib/viva-active/detail.action?docID=3571685</t>
  </si>
  <si>
    <t>Land of the Tejas : Native American Identity and Interaction in Texas, A.D. 1300 to 1700</t>
  </si>
  <si>
    <t>Arnn, John Wesley</t>
  </si>
  <si>
    <t>Indians of North America -- Texas -- History. ; Indians of North America -- Texas -- Ethnic identity. ; Indians of North America -- Texas -- Antiquities. ; Excavations (Archaeology) -- Texas. ; Social archaeology -- Texas. ; Texas -- Antiquities.</t>
  </si>
  <si>
    <t>https://ebookcentral.proquest.com/lib/viva-active/detail.action?docID=3571855</t>
  </si>
  <si>
    <t>Social Identities in the Classic Maya Northern Lowlands : Gender, Age, Memory, and Place</t>
  </si>
  <si>
    <t>Ardren, Traci</t>
  </si>
  <si>
    <t>Mayas -- Yucatán Peninsula -- Social conditions. ; Maya -- Yucatán Peninsula -- Antiquities. ; Group identity -- Yucatán Peninsula -- History. ; Social structure -- Yucatán Peninsula -- History. ; Social archaeology -- Yucatán Peninsula. ; Yucatán Peninsula -- Antiquities.</t>
  </si>
  <si>
    <t>https://ebookcentral.proquest.com/lib/viva-active/detail.action?docID=3571915</t>
  </si>
  <si>
    <t>The Legacy of Dell Hymes : Ethnopoetics, Narrative Inequality, and Voice</t>
  </si>
  <si>
    <t>Encounters: Explorations in Folklore and Ethnomusicology Ser.</t>
  </si>
  <si>
    <t>Kroskrity, Paul V.;Webster, Anthony K.</t>
  </si>
  <si>
    <t>Social Science; Literature</t>
  </si>
  <si>
    <t>https://ebookcentral.proquest.com/lib/viva-active/detail.action?docID=4004141</t>
  </si>
  <si>
    <t>No Fixed Address</t>
  </si>
  <si>
    <t>Schwartz Publishing Pty. Ltd</t>
  </si>
  <si>
    <t>Short Black</t>
  </si>
  <si>
    <t>Davidson, Robyn</t>
  </si>
  <si>
    <t>Nomads</t>
  </si>
  <si>
    <t>https://ebookcentral.proquest.com/lib/viva-active/detail.action?docID=4005618</t>
  </si>
  <si>
    <t>In This Body</t>
  </si>
  <si>
    <t>Hinojosa, Servando Z.</t>
  </si>
  <si>
    <t>Cakchikel Indians -- Guatemala -- Comalapa -- Social life and customs. ; Cakchikel Indians -- Guatemala -- Comalapa -- Religion. ; Human body -- Social aspects -- Guatemala -- Comalapa. ; Human body -- Guatemala -- Comalapa -- Religious aspects. ; Mind and body -- Guatemala -- Comalapa.</t>
  </si>
  <si>
    <t>https://ebookcentral.proquest.com/lib/viva-active/detail.action?docID=4012437</t>
  </si>
  <si>
    <t>The Civil War and Reconstruction in Indian Territory</t>
  </si>
  <si>
    <t>Clampitt, Bradley R.</t>
  </si>
  <si>
    <t>Indian Territory - History - 19th century</t>
  </si>
  <si>
    <t>https://ebookcentral.proquest.com/lib/viva-active/detail.action?docID=4044796</t>
  </si>
  <si>
    <t>The Making of an African King : Patrilineal and Matrilineal Struggle Among the ?wutu (Effutu) of Ghana</t>
  </si>
  <si>
    <t>Ephirim-Donkor, Anthony</t>
  </si>
  <si>
    <t>Efutu (African people) - Kinship</t>
  </si>
  <si>
    <t>https://ebookcentral.proquest.com/lib/viva-active/detail.action?docID=4085818</t>
  </si>
  <si>
    <t>Fort San Juan and the Limits of Empire : Colonialism and Household Practice at the Berry Site</t>
  </si>
  <si>
    <t>Beck, Robin A.;Rodning, Christopher B.;Moore, David G.</t>
  </si>
  <si>
    <t>Excavations (Archaeology) - North Carolina - Morganton Region</t>
  </si>
  <si>
    <t>https://ebookcentral.proquest.com/lib/viva-active/detail.action?docID=4092867</t>
  </si>
  <si>
    <t>Archaeology of Early Colonial Interaction at el Chorro de Maita, Cuba</t>
  </si>
  <si>
    <t>Rojas, Roberto Valcarcel</t>
  </si>
  <si>
    <t>Holguain (Cuba) - Antiquities</t>
  </si>
  <si>
    <t>https://ebookcentral.proquest.com/lib/viva-active/detail.action?docID=4103817</t>
  </si>
  <si>
    <t>Women Ethnographers and Native Women Storytellers : Relational Science, Ethnographic Collaboration, and Tribal Community</t>
  </si>
  <si>
    <t>Native American Literary Studies</t>
  </si>
  <si>
    <t>Brill de Ramírez, Susan Berry</t>
  </si>
  <si>
    <t>Indian women - Biography</t>
  </si>
  <si>
    <t>https://ebookcentral.proquest.com/lib/viva-active/detail.action?docID=4206525</t>
  </si>
  <si>
    <t>Alva Ixtlilxochitl's Native Archive and the Circulation of Knowledge in Colonial Mexico</t>
  </si>
  <si>
    <t>Vanderbilt University Press</t>
  </si>
  <si>
    <t>Brian, Amber</t>
  </si>
  <si>
    <t>Indians of Mexico--Archives.</t>
  </si>
  <si>
    <t>https://ebookcentral.proquest.com/lib/viva-active/detail.action?docID=4305610</t>
  </si>
  <si>
    <t>Reclaimers</t>
  </si>
  <si>
    <t>Spagna, Ana Maria</t>
  </si>
  <si>
    <t>Spagna, Ana Maria - Travel - Northwest, Pacific</t>
  </si>
  <si>
    <t>https://ebookcentral.proquest.com/lib/viva-active/detail.action?docID=4305976</t>
  </si>
  <si>
    <t>Symbolic Immortality : The Tlingit Potlatch of the Nineteenth Century, Second Edition</t>
  </si>
  <si>
    <t>Kan, Sergei</t>
  </si>
  <si>
    <t>Indians of North America - Funeral customs and rites - Northwest Coast of North America</t>
  </si>
  <si>
    <t>https://ebookcentral.proquest.com/lib/viva-active/detail.action?docID=4305977</t>
  </si>
  <si>
    <t>Forging a Cherokee-American Alliance in the Creek War : From Creation to Betrayal</t>
  </si>
  <si>
    <t>Abram, Susan M.</t>
  </si>
  <si>
    <t>Cherokee Indians - Government relations - History</t>
  </si>
  <si>
    <t>https://ebookcentral.proquest.com/lib/viva-active/detail.action?docID=4312166</t>
  </si>
  <si>
    <t>Fierce Climate, Sacred Ground : An Ethnography of Climate Change in Shishmaref, Alaska</t>
  </si>
  <si>
    <t>Marino, Elizabeth</t>
  </si>
  <si>
    <t>Shishmaref (Alaska)--Remote-sensing maps.</t>
  </si>
  <si>
    <t>https://ebookcentral.proquest.com/lib/viva-active/detail.action?docID=4312501</t>
  </si>
  <si>
    <t>Cave Rock : Climbers, Courts, and a Washoe Indian Sacred Place</t>
  </si>
  <si>
    <t>University of Nevada Press</t>
  </si>
  <si>
    <t>Makley, Michael J.;Makley, Michael J.</t>
  </si>
  <si>
    <t>Washoe Tribe of Nevada &amp; California - Trials, litigation, etc</t>
  </si>
  <si>
    <t>https://ebookcentral.proquest.com/lib/viva-active/detail.action?docID=4312831</t>
  </si>
  <si>
    <t>American Indian Educators in Reservation Schools</t>
  </si>
  <si>
    <t>Indian teachers - United States</t>
  </si>
  <si>
    <t>https://ebookcentral.proquest.com/lib/viva-active/detail.action?docID=4312861</t>
  </si>
  <si>
    <t>Corbett Mack : The Life of a Northern Paiute</t>
  </si>
  <si>
    <t>Hittman, Michael</t>
  </si>
  <si>
    <t>Smith Creek Valley (Nev.)--Social life and customs.</t>
  </si>
  <si>
    <t>https://ebookcentral.proquest.com/lib/viva-active/detail.action?docID=4312864</t>
  </si>
  <si>
    <t>The Indians' New World : Catawbas and Their Neighbors from European Contact Through the Era of Removal</t>
  </si>
  <si>
    <t>Published by the Omohundro Institute of Early American History and Culture and the University of North Carolina Press Ser.</t>
  </si>
  <si>
    <t>Merrell, James H.</t>
  </si>
  <si>
    <t>Catawba Indians--History.</t>
  </si>
  <si>
    <t>https://ebookcentral.proquest.com/lib/viva-active/detail.action?docID=4321904</t>
  </si>
  <si>
    <t>The History and Present State of Virginia : A New Edition with an Introduction by Susan Scott Parrish</t>
  </si>
  <si>
    <t>Beverley, Robert;Parrish, Susan Scott;Parrish, Susan Scott</t>
  </si>
  <si>
    <t>Indians of North America - Virginia</t>
  </si>
  <si>
    <t>https://ebookcentral.proquest.com/lib/viva-active/detail.action?docID=4322177</t>
  </si>
  <si>
    <t>Say We Are Nations : Documents of Politics and Protest in Indigenous America Since 1887</t>
  </si>
  <si>
    <t>H. Eugene and Lillian Youngs Lehman Ser.</t>
  </si>
  <si>
    <t>Cobb, Daniel M.</t>
  </si>
  <si>
    <t>Indians of North America-Social conditions-Sources. ; Indigenous peoples-Legal status, laws, etc.-United States-Sources. ; Indians of North America-Government relations-Sources. ; Indigenous peoples-Civil rights-United States-Sources. ; Indians of North America-Politics and government-Sources. ; Hawaiians-Social conditions-Sources. ; Alaska Natives-Social conditions-Sources. ; Hawaiians-Government relations-Sources. ; Alaska Natives-Government relations-Sources. ; Hawaiians-Politics and government-Sources. ; Alaska Natives-Politics and government-Sources.</t>
  </si>
  <si>
    <t>https://ebookcentral.proquest.com/lib/viva-active/detail.action?docID=4322248</t>
  </si>
  <si>
    <t>Ritual Retellings : Luangan Healing Performances Through Practice</t>
  </si>
  <si>
    <t>Epistemologies of Healing Ser.</t>
  </si>
  <si>
    <t>Herrman, Isabell</t>
  </si>
  <si>
    <t>Ethnology - Indonesia - Kalimantan</t>
  </si>
  <si>
    <t>https://ebookcentral.proquest.com/lib/viva-active/detail.action?docID=4351157</t>
  </si>
  <si>
    <t>This Torrent of Indians : War on the Southern Frontier, 1715-1728</t>
  </si>
  <si>
    <t>Ivers, Larry E.</t>
  </si>
  <si>
    <t>Indians of North America - Wars - Southern States</t>
  </si>
  <si>
    <t>https://ebookcentral.proquest.com/lib/viva-active/detail.action?docID=4386867</t>
  </si>
  <si>
    <t>Understanding Louise Erdrich</t>
  </si>
  <si>
    <t>Understanding Contemporary American Literature Ser.</t>
  </si>
  <si>
    <t>Kurup, Seema;Wagner-Martin, Linda</t>
  </si>
  <si>
    <t>Erdrich, Louise--Criticism and interpretation.</t>
  </si>
  <si>
    <t>https://ebookcentral.proquest.com/lib/viva-active/detail.action?docID=4386868</t>
  </si>
  <si>
    <t>Chi-mewinzha : Ojibwe Stories from Leech Lake</t>
  </si>
  <si>
    <t>Whipple, Dorothy Dora;Geniusz, Wendy Makoons;Fairbanks, Brendan;Fairbanks, Brendan</t>
  </si>
  <si>
    <t>Leech Lake Indian Reservation (Minn.)--Folklore.</t>
  </si>
  <si>
    <t>https://ebookcentral.proquest.com/lib/viva-active/detail.action?docID=4391784</t>
  </si>
  <si>
    <t>Plants Have So Much to Give Us, All We Have to Do Is Ask : Anishinaabe Botanical Teachings</t>
  </si>
  <si>
    <t>Geniusz, Mary Siisip;Geniusz, Wendy Makoons;Geniusz, Annmarie</t>
  </si>
  <si>
    <t>History; Economics; Environmental Studies</t>
  </si>
  <si>
    <t>Medicinal plants - North America</t>
  </si>
  <si>
    <t>https://ebookcentral.proquest.com/lib/viva-active/detail.action?docID=4391786</t>
  </si>
  <si>
    <t>Beginning and End of Rape : Confronting Sexual Violence in Native America</t>
  </si>
  <si>
    <t>Deer, Sarah</t>
  </si>
  <si>
    <t>Indian women - Legal status, laws, etc - United States</t>
  </si>
  <si>
    <t>https://ebookcentral.proquest.com/lib/viva-active/detail.action?docID=4391837</t>
  </si>
  <si>
    <t>Our Own Image : A Story of a Maori Filmmaker</t>
  </si>
  <si>
    <t>Barclay, Barry</t>
  </si>
  <si>
    <t>Motion picture producers and directors--New Zealand--Biography.</t>
  </si>
  <si>
    <t>https://ebookcentral.proquest.com/lib/viva-active/detail.action?docID=4391852</t>
  </si>
  <si>
    <t>Community Self-Determination : American Indian Education in Chicago, 1952-2006</t>
  </si>
  <si>
    <t>Laukaitis, John J.</t>
  </si>
  <si>
    <t>Indians of North America--Education--Illinois--Chicago--History.</t>
  </si>
  <si>
    <t>https://ebookcentral.proquest.com/lib/viva-active/detail.action?docID=4396574</t>
  </si>
  <si>
    <t>Weaving Alliances with Other Women : Chitimacha Indian Work in the New South</t>
  </si>
  <si>
    <t>Mercer University Lamar Memorial Lectures</t>
  </si>
  <si>
    <t>Usner, Daniel H.</t>
  </si>
  <si>
    <t>Whites - Louisiana - Relations with Indians - History - 20th century</t>
  </si>
  <si>
    <t>https://ebookcentral.proquest.com/lib/viva-active/detail.action?docID=4397162</t>
  </si>
  <si>
    <t>Venezuela Reframed : Bolivarianism, Indigenous Peoples and Socialisms of the Twenty-First Century</t>
  </si>
  <si>
    <t>Angosto-Ferrández, Luis Fernando</t>
  </si>
  <si>
    <t>Venezuela--Politics and government.</t>
  </si>
  <si>
    <t>https://ebookcentral.proquest.com/lib/viva-active/detail.action?docID=4397405</t>
  </si>
  <si>
    <t>Long History, Deep Time : Deepening Histories of Place</t>
  </si>
  <si>
    <t>Aboriginal History Monographs</t>
  </si>
  <si>
    <t>McGrath, Ann;Jebb, Mary Ann</t>
  </si>
  <si>
    <t>Australia--History.</t>
  </si>
  <si>
    <t>https://ebookcentral.proquest.com/lib/viva-active/detail.action?docID=4398185</t>
  </si>
  <si>
    <t>Nature and History in the Potomac Country : From Hunter-Gatherers to the Age of Jefferson</t>
  </si>
  <si>
    <t>Rice, James D.</t>
  </si>
  <si>
    <t>Human ecology - History - Potomac River Valley</t>
  </si>
  <si>
    <t>https://ebookcentral.proquest.com/lib/viva-active/detail.action?docID=4398425</t>
  </si>
  <si>
    <t>The Return of Hans Staden : A Go-between in the Atlantic World</t>
  </si>
  <si>
    <t>Duffy, Eve M.;Metcalf, Alida C.</t>
  </si>
  <si>
    <t>Brazil - Early works to 1800</t>
  </si>
  <si>
    <t>https://ebookcentral.proquest.com/lib/viva-active/detail.action?docID=4398450</t>
  </si>
  <si>
    <t>Hodges' Scout : A Lost Patrol of the French and Indian War</t>
  </si>
  <si>
    <t>War/Society/Culture Ser.</t>
  </si>
  <si>
    <t>Travers, Len</t>
  </si>
  <si>
    <t>Soldiers - New York (State) - Lake George Region - History - 18th century</t>
  </si>
  <si>
    <t>https://ebookcentral.proquest.com/lib/viva-active/detail.action?docID=4398477</t>
  </si>
  <si>
    <t>Native and National in Brazil : Indigeneity after Independence</t>
  </si>
  <si>
    <t>Devine Guzmán, Tracy</t>
  </si>
  <si>
    <t>Indians of South America - Brazil - Public opinion</t>
  </si>
  <si>
    <t>https://ebookcentral.proquest.com/lib/viva-active/detail.action?docID=4401708</t>
  </si>
  <si>
    <t>Mortuary Landscapes of the Classic Maya : Rituals of Body and Soul</t>
  </si>
  <si>
    <t>The Linda Schele Series in Maya and Pre-Columbian Studies</t>
  </si>
  <si>
    <t>Scherer, Andrew K.</t>
  </si>
  <si>
    <t>Human body - Symbolic aspects - Mexico</t>
  </si>
  <si>
    <t>https://ebookcentral.proquest.com/lib/viva-active/detail.action?docID=4401770</t>
  </si>
  <si>
    <t>Images of Public Wealth or the Anatomy of Well-Being in Indigenous Amazonia</t>
  </si>
  <si>
    <t>Santos-Granero, Fernando</t>
  </si>
  <si>
    <t>Well-being - Amazon River Region</t>
  </si>
  <si>
    <t>https://ebookcentral.proquest.com/lib/viva-active/detail.action?docID=4412497</t>
  </si>
  <si>
    <t>American Indians and National Forests</t>
  </si>
  <si>
    <t>Catton, Theodore</t>
  </si>
  <si>
    <t>Forest management - United States - History</t>
  </si>
  <si>
    <t>https://ebookcentral.proquest.com/lib/viva-active/detail.action?docID=4412548</t>
  </si>
  <si>
    <t>Indigenous Pop : Native American Music from Jazz to Hip Hop</t>
  </si>
  <si>
    <t>Berglund, Jeff;Johnson, Jan;Lee, Kimberli</t>
  </si>
  <si>
    <t>Indians of North America - Music - History and criticism</t>
  </si>
  <si>
    <t>https://ebookcentral.proquest.com/lib/viva-active/detail.action?docID=4412552</t>
  </si>
  <si>
    <t>Imprints : The Pokagon Band of Potawatomi Indians and the City of Chicago</t>
  </si>
  <si>
    <t>Low, John N.</t>
  </si>
  <si>
    <t>Potawatomi Indians - Land tenure</t>
  </si>
  <si>
    <t>https://ebookcentral.proquest.com/lib/viva-active/detail.action?docID=4413808</t>
  </si>
  <si>
    <t>Tribes, Land, and the Environment</t>
  </si>
  <si>
    <t>Law, Property and Society Ser.</t>
  </si>
  <si>
    <t>Krakoff, Sarah;Rosser, Ezra</t>
  </si>
  <si>
    <t>Climatic changes-Law and legislation. ; Environmental justice. ; Indians of North America-Land tenure.</t>
  </si>
  <si>
    <t>https://ebookcentral.proquest.com/lib/viva-active/detail.action?docID=4414893</t>
  </si>
  <si>
    <t>Archaeological Perspectives on the Southern Appalachians : A Multiscalar Approach</t>
  </si>
  <si>
    <t>Gougeon, Ramie A.;Meyers, Maureen</t>
  </si>
  <si>
    <t>Social archaeology - Appalachian Region, Southern</t>
  </si>
  <si>
    <t>https://ebookcentral.proquest.com/lib/viva-active/detail.action?docID=4415930</t>
  </si>
  <si>
    <t>More Than God Demands : Politics and Influence of Christian Missions in Northwest Alaska, 1897-1918</t>
  </si>
  <si>
    <t>Urvina, Anthony;Urvina, Sally</t>
  </si>
  <si>
    <t>Missions - Alaska</t>
  </si>
  <si>
    <t>https://ebookcentral.proquest.com/lib/viva-active/detail.action?docID=4437529</t>
  </si>
  <si>
    <t>Indian Detours : Tourism in Native North America</t>
  </si>
  <si>
    <t>Hovens, Pieter;Van der Hooft, Mette</t>
  </si>
  <si>
    <t>United States--Ethnic relations.</t>
  </si>
  <si>
    <t>https://ebookcentral.proquest.com/lib/viva-active/detail.action?docID=4447576</t>
  </si>
  <si>
    <t>The indigenous peoples of Trinidad and Tobago from the first settlers until today</t>
  </si>
  <si>
    <t>Boomert, Arie</t>
  </si>
  <si>
    <t>Indigenous peoples--Trinidad and Tobago.</t>
  </si>
  <si>
    <t>https://ebookcentral.proquest.com/lib/viva-active/detail.action?docID=4447605</t>
  </si>
  <si>
    <t>Saba's first inhabitants : A story of 3300 years of Amerindian occupation prior to European contact (1800 BC - AD 1492)</t>
  </si>
  <si>
    <t>Hofman, Corinne L.;Hoogland, Menno M.L.P</t>
  </si>
  <si>
    <t>Indians--Saba--History.</t>
  </si>
  <si>
    <t>https://ebookcentral.proquest.com/lib/viva-active/detail.action?docID=4447608</t>
  </si>
  <si>
    <t>In Defence of Country : Life Stories of Aboriginal and Torres Strait Islander Servicemen and Women</t>
  </si>
  <si>
    <t>Military Science; Political Science</t>
  </si>
  <si>
    <t>Australia--Armed Forces.</t>
  </si>
  <si>
    <t>https://ebookcentral.proquest.com/lib/viva-active/detail.action?docID=4504627</t>
  </si>
  <si>
    <t>Experiments in self-determination : Histories of the outstation movement in Australia</t>
  </si>
  <si>
    <t>Monographs in Anthropology</t>
  </si>
  <si>
    <t>Peterson, Nicolas;Myers, Fred</t>
  </si>
  <si>
    <t>Aboriginal Australians--Social conditions--20th century.</t>
  </si>
  <si>
    <t>https://ebookcentral.proquest.com/lib/viva-active/detail.action?docID=4504628</t>
  </si>
  <si>
    <t>Fernando de Alva Ixtlilxochitl and His Legacy</t>
  </si>
  <si>
    <t>Brokaw, Galen;Lee, Jongsoo</t>
  </si>
  <si>
    <t>Historians - Mexico - 17th century</t>
  </si>
  <si>
    <t>https://ebookcentral.proquest.com/lib/viva-active/detail.action?docID=4509618</t>
  </si>
  <si>
    <t>Staking Claim : Settler Colonialism and Racialization in Hawai'i</t>
  </si>
  <si>
    <t>Rohrer, Judy</t>
  </si>
  <si>
    <t>Racism - Hawaii</t>
  </si>
  <si>
    <t>https://ebookcentral.proquest.com/lib/viva-active/detail.action?docID=4509625</t>
  </si>
  <si>
    <t>Stand up and Fight : Participatory Indigenismo, Populism, and Mobilization in Mexico, 1970-1984</t>
  </si>
  <si>
    <t>Muñoz, María L. O.</t>
  </si>
  <si>
    <t>Indians of Mexico - Politics and government - 20th century</t>
  </si>
  <si>
    <t>https://ebookcentral.proquest.com/lib/viva-active/detail.action?docID=4509626</t>
  </si>
  <si>
    <t>Indigenous Passages to Cuba, 1515 1900</t>
  </si>
  <si>
    <t>Yaremko, Jason M.</t>
  </si>
  <si>
    <t>Cuba - Colonization - History</t>
  </si>
  <si>
    <t>https://ebookcentral.proquest.com/lib/viva-active/detail.action?docID=4510860</t>
  </si>
  <si>
    <t>To Come to a Better Understanding : Medicine Men and Clergy Meetings on the Rosebud Reservation, 1973–1978</t>
  </si>
  <si>
    <t>Garner, Sandra L.</t>
  </si>
  <si>
    <t>Rosebud Indian Reservation (S.D.)--History--20th century.</t>
  </si>
  <si>
    <t>https://ebookcentral.proquest.com/lib/viva-active/detail.action?docID=4516806</t>
  </si>
  <si>
    <t>We Will Always Be Here : Native Peoples on Living and Thriving in the South</t>
  </si>
  <si>
    <t>Other Southerners Ser.</t>
  </si>
  <si>
    <t>Southern States--Race relations.</t>
  </si>
  <si>
    <t>https://ebookcentral.proquest.com/lib/viva-active/detail.action?docID=4517547</t>
  </si>
  <si>
    <t>Red Brethren : The Brothertown and Stockbridge Indians and the Problem of Race in Early America</t>
  </si>
  <si>
    <t>Silverman, David J.</t>
  </si>
  <si>
    <t>Stockbridge Indians - Religion</t>
  </si>
  <si>
    <t>https://ebookcentral.proquest.com/lib/viva-active/detail.action?docID=4517891</t>
  </si>
  <si>
    <t>Inter/Nationalism : Decolonizing Native America and Palestine</t>
  </si>
  <si>
    <t>Salaita, Steven</t>
  </si>
  <si>
    <t>Indians of North America--Study and teaching.</t>
  </si>
  <si>
    <t>https://ebookcentral.proquest.com/lib/viva-active/detail.action?docID=4525955</t>
  </si>
  <si>
    <t>Medical Encounters : Knowledge and Identity in Early American Literatures</t>
  </si>
  <si>
    <t>University of Massachusetts Press</t>
  </si>
  <si>
    <t>Wisecup, Kelly</t>
  </si>
  <si>
    <t>Medicine</t>
  </si>
  <si>
    <t>Medicine--United States--History.</t>
  </si>
  <si>
    <t>https://ebookcentral.proquest.com/lib/viva-active/detail.action?docID=4526426</t>
  </si>
  <si>
    <t>Paleoindian Societies of the Coastal Southeast</t>
  </si>
  <si>
    <t>Dunbar, James S.</t>
  </si>
  <si>
    <t>Paleo-Indians - Southern States</t>
  </si>
  <si>
    <t>https://ebookcentral.proquest.com/lib/viva-active/detail.action?docID=4529738</t>
  </si>
  <si>
    <t>The People of the Standing Stone : The Oneida Nation from the Revolution through the Era of Removal</t>
  </si>
  <si>
    <t>Native Americans of the Northeast</t>
  </si>
  <si>
    <t>Tiro, Karim M.</t>
  </si>
  <si>
    <t>Oneida Indians--History.</t>
  </si>
  <si>
    <t>https://ebookcentral.proquest.com/lib/viva-active/detail.action?docID=4532894</t>
  </si>
  <si>
    <t>Making War and Minting Christians : Masculinity, Religion, and Colonialism in Early New England</t>
  </si>
  <si>
    <t>Romero, R. Todd</t>
  </si>
  <si>
    <t>New England--History--Colonial period, ca. 1600-1775.</t>
  </si>
  <si>
    <t>https://ebookcentral.proquest.com/lib/viva-active/detail.action?docID=4533089</t>
  </si>
  <si>
    <t>Living with Whales : Documents and Oral Histories of Native New England Whaling History</t>
  </si>
  <si>
    <t>Whaling--New England--History.</t>
  </si>
  <si>
    <t>https://ebookcentral.proquest.com/lib/viva-active/detail.action?docID=4533196</t>
  </si>
  <si>
    <t>Contextualizing Indigenous Knowledge in Africa and its Diaspora</t>
  </si>
  <si>
    <t>Aderibigbe, Ibigbolade;Ihuah, Alloy;Kripono, Felisters</t>
  </si>
  <si>
    <t>Social Science; General Works/Reference</t>
  </si>
  <si>
    <t>Ethnoscience--Africa.</t>
  </si>
  <si>
    <t>https://ebookcentral.proquest.com/lib/viva-active/detail.action?docID=4534681</t>
  </si>
  <si>
    <t>Aboriginal Rights Claims and the Making and Remaking of History</t>
  </si>
  <si>
    <t>Ray, Arthur J.</t>
  </si>
  <si>
    <t>Indigenous peoples--Claims--History--20th century.</t>
  </si>
  <si>
    <t>https://ebookcentral.proquest.com/lib/viva-active/detail.action?docID=4556272</t>
  </si>
  <si>
    <t>Ancient People of the Andes</t>
  </si>
  <si>
    <t>Malpass, Michael A.</t>
  </si>
  <si>
    <t>Indigenous peoples - Andres Region</t>
  </si>
  <si>
    <t>https://ebookcentral.proquest.com/lib/viva-active/detail.action?docID=4556808</t>
  </si>
  <si>
    <t>An 1860 English-Hopi Vocabulary Written in the Deseret Alphabet</t>
  </si>
  <si>
    <t>Beesley, Kenneth R.;Elzinga, Dirk</t>
  </si>
  <si>
    <t>Hopi Indians - Missions</t>
  </si>
  <si>
    <t>https://ebookcentral.proquest.com/lib/viva-active/detail.action?docID=4562222</t>
  </si>
  <si>
    <t>Native Wills from the Colonial Americas : Dead Giveaways in a New World</t>
  </si>
  <si>
    <t>Christensen, Mark Z.;Truitt, Jonathan</t>
  </si>
  <si>
    <t>Wills - Central America</t>
  </si>
  <si>
    <t>https://ebookcentral.proquest.com/lib/viva-active/detail.action?docID=4562226</t>
  </si>
  <si>
    <t>The Railroad and the Pueblo Indians : The Impact of the Atchison, Topeka and Santa Fe on the Pueblos of the Rio Grande, 1880-1930</t>
  </si>
  <si>
    <t>Frost, Richard H.</t>
  </si>
  <si>
    <t>Railroads - Southwestern States - Social aspects</t>
  </si>
  <si>
    <t>https://ebookcentral.proquest.com/lib/viva-active/detail.action?docID=4562228</t>
  </si>
  <si>
    <t>Engaging Indigenous Economy : Debating diverse approaches</t>
  </si>
  <si>
    <t>Sanders, Will</t>
  </si>
  <si>
    <t>Aboriginal Australians--Economic conditions.</t>
  </si>
  <si>
    <t>https://ebookcentral.proquest.com/lib/viva-active/detail.action?docID=4562272</t>
  </si>
  <si>
    <t>Journeys into the Rainforest : Archaeology of Culture Change and Continuity on the Evelyn Tableland, North Queensland</t>
  </si>
  <si>
    <t>Terra Australis</t>
  </si>
  <si>
    <t>Ferrier, Åsa</t>
  </si>
  <si>
    <t>Human settlements--Australia--Queensland--Evelyn Tableland--Antiquities.</t>
  </si>
  <si>
    <t>https://ebookcentral.proquest.com/lib/viva-active/detail.action?docID=4562276</t>
  </si>
  <si>
    <t>Indigenous and Minority Placenames : Australian and International Perspectives</t>
  </si>
  <si>
    <t>Clark, Ian D.;Hercus, Luise;Kostanski, Laura</t>
  </si>
  <si>
    <t>Names, Geographical--Australia.</t>
  </si>
  <si>
    <t>https://ebookcentral.proquest.com/lib/viva-active/detail.action?docID=4567397</t>
  </si>
  <si>
    <t>Rim Country Exodus : A Story of Conquest, Renewal, and Race in the Making</t>
  </si>
  <si>
    <t>Herman, Daniel J.</t>
  </si>
  <si>
    <t>Indian reservations - Arizona - History</t>
  </si>
  <si>
    <t>https://ebookcentral.proquest.com/lib/viva-active/detail.action?docID=4571564</t>
  </si>
  <si>
    <t>Macassan History and Heritage : Journeys, Encounters and Influences</t>
  </si>
  <si>
    <t>Clark, Marshall;May, Sally K.</t>
  </si>
  <si>
    <t>Australia--Discovery and exploration.</t>
  </si>
  <si>
    <t>https://ebookcentral.proquest.com/lib/viva-active/detail.action?docID=4572857</t>
  </si>
  <si>
    <t>Faking Ancient Mesoamerica</t>
  </si>
  <si>
    <t>Kelker, Nancy L.;Bruhns, Karen O.</t>
  </si>
  <si>
    <t>Forgery of antiquities - Central America</t>
  </si>
  <si>
    <t>https://ebookcentral.proquest.com/lib/viva-active/detail.action?docID=4578597</t>
  </si>
  <si>
    <t>Research, records and responsibility : Ten years of PARADISEC</t>
  </si>
  <si>
    <t>Sydney University Press</t>
  </si>
  <si>
    <t>Harris, Amanda</t>
  </si>
  <si>
    <t>History; Library Science</t>
  </si>
  <si>
    <t>Archival materials--Digitization.</t>
  </si>
  <si>
    <t>https://ebookcentral.proquest.com/lib/viva-active/detail.action?docID=4585608</t>
  </si>
  <si>
    <t>Indigenous Notions of Ownership and Libraries, Archives and Museums</t>
  </si>
  <si>
    <t>IFLA Publications</t>
  </si>
  <si>
    <t>Callison, Camille;Roy, Loriene;LeCheminant, Gretchen Alice</t>
  </si>
  <si>
    <t>Library Science</t>
  </si>
  <si>
    <t>Intellectual property.</t>
  </si>
  <si>
    <t>https://ebookcentral.proquest.com/lib/viva-active/detail.action?docID=4595483</t>
  </si>
  <si>
    <t>Northwest Coast Indian Art : An Analysis of Form, 50th Anniversary Edition</t>
  </si>
  <si>
    <t>Native Art of the Pacific Northwest: a Bill Holm Center Ser.</t>
  </si>
  <si>
    <t>Holm, Bill;Museum, Burke</t>
  </si>
  <si>
    <t>Indian art - Northwest Coast of North America</t>
  </si>
  <si>
    <t>https://ebookcentral.proquest.com/lib/viva-active/detail.action?docID=4635829</t>
  </si>
  <si>
    <t>Native Students at Work : American Indian Labor and Sherman Institute's Outing Program, 1900-1945</t>
  </si>
  <si>
    <t>Whalen, Kevin;Gilbert, Matthew Sakiestewa</t>
  </si>
  <si>
    <t>Indians of North America - California, Southern - Social conditions - 20th century</t>
  </si>
  <si>
    <t>https://ebookcentral.proquest.com/lib/viva-active/detail.action?docID=4635835</t>
  </si>
  <si>
    <t>Body, Subject &amp; Subjected : The Representation of the Body Itself, Illness, Injury, Treatment &amp; Death in Spain and Indigenous and Hispanic American Art &amp; Literature</t>
  </si>
  <si>
    <t>Sussex Academic Press</t>
  </si>
  <si>
    <t>Andrist, Debra D.</t>
  </si>
  <si>
    <t>Human figure in art.</t>
  </si>
  <si>
    <t>https://ebookcentral.proquest.com/lib/viva-active/detail.action?docID=4649731</t>
  </si>
  <si>
    <t>In the Belly of a Laughing God : Humour and Irony in Native Women's Poetry</t>
  </si>
  <si>
    <t>Heritage</t>
  </si>
  <si>
    <t>Andrews, Jennifer</t>
  </si>
  <si>
    <t>American poetry - Indian authors - History and criticism</t>
  </si>
  <si>
    <t>https://ebookcentral.proquest.com/lib/viva-active/detail.action?docID=4669967</t>
  </si>
  <si>
    <t>A Fatherly Eye : Indian Agents, Government Power, and Aboriginal Resistance in Ontario, 1918-1939</t>
  </si>
  <si>
    <t>Canadian Social History Series</t>
  </si>
  <si>
    <t>Brownlie, Robin</t>
  </si>
  <si>
    <t>https://ebookcentral.proquest.com/lib/viva-active/detail.action?docID=4670198</t>
  </si>
  <si>
    <t>Reflections on Native-Newcomer Relations : Selected Essays</t>
  </si>
  <si>
    <t>Miller, J.R.</t>
  </si>
  <si>
    <t>https://ebookcentral.proquest.com/lib/viva-active/detail.action?docID=4670246</t>
  </si>
  <si>
    <t>Apostle to the Inuit : The Journals and Ethnographic Notes of Edmund James Peck - The Baffin Years, 1894-1905</t>
  </si>
  <si>
    <t>Laugrand, Frédéric;Oosten, Jarich;Trudel, Francois</t>
  </si>
  <si>
    <t>https://ebookcentral.proquest.com/lib/viva-active/detail.action?docID=4671191</t>
  </si>
  <si>
    <t>Between Colliding Worlds : The Ambiguous Existence of Government Agencies for Aboriginal and Women's Policy</t>
  </si>
  <si>
    <t>IPAC Series in Public Management and Governance</t>
  </si>
  <si>
    <t>Malloy, Jonathan</t>
  </si>
  <si>
    <t>https://ebookcentral.proquest.com/lib/viva-active/detail.action?docID=4671228</t>
  </si>
  <si>
    <t>Figured Worlds : Ontological Obstacles in Intercultural Relations</t>
  </si>
  <si>
    <t>Clammer, John;Poirier, Sylvie;Schwimmer, Eric</t>
  </si>
  <si>
    <t>https://ebookcentral.proquest.com/lib/viva-active/detail.action?docID=4671513</t>
  </si>
  <si>
    <t>'Hang Onto These Words' : Johnny David's Delgamuukw Evidence</t>
  </si>
  <si>
    <t>Mills, Antonia</t>
  </si>
  <si>
    <t>https://ebookcentral.proquest.com/lib/viva-active/detail.action?docID=4671577</t>
  </si>
  <si>
    <t>International Law and Indigenous Knowledge : Intellectual Property, Plant Biodiversity, and Traditional Medicine</t>
  </si>
  <si>
    <t>Oguamanam, Chidi</t>
  </si>
  <si>
    <t>https://ebookcentral.proquest.com/lib/viva-active/detail.action?docID=4671633</t>
  </si>
  <si>
    <t>Maps of Experience : The Anchoring of Land to Story in Secwepemc Discourse</t>
  </si>
  <si>
    <t>Palmer, Andie Diane;Palmer, Andie Diane</t>
  </si>
  <si>
    <t>https://ebookcentral.proquest.com/lib/viva-active/detail.action?docID=4671704</t>
  </si>
  <si>
    <t>The 'Conquest' of Acadia, 1710 : Imperial, Colonial, and Aboriginal Constructions</t>
  </si>
  <si>
    <t>Basque, Maurice;Mancke, Elizabeth;Reid, John G.;Moody, Barry;Plank, Geoffrey;Wicken, William C.</t>
  </si>
  <si>
    <t>Great Britain - Colonies - America - Administration - History - 18th century</t>
  </si>
  <si>
    <t>https://ebookcentral.proquest.com/lib/viva-active/detail.action?docID=4672032</t>
  </si>
  <si>
    <t>Wartime Images, Peacetime Wounds : The Media and the Gustafsen Lake Standoff</t>
  </si>
  <si>
    <t>Lambertus, Sandra</t>
  </si>
  <si>
    <t>https://ebookcentral.proquest.com/lib/viva-active/detail.action?docID=4672241</t>
  </si>
  <si>
    <t>Before the Country : Native Renaissance, Canadian Mythology</t>
  </si>
  <si>
    <t>McKenzie, Stephanie</t>
  </si>
  <si>
    <t>https://ebookcentral.proquest.com/lib/viva-active/detail.action?docID=4672300</t>
  </si>
  <si>
    <t>Essays on Northeastern North America, 17th &amp; 18th Centuries</t>
  </si>
  <si>
    <t>Reid, John G.</t>
  </si>
  <si>
    <t>https://ebookcentral.proquest.com/lib/viva-active/detail.action?docID=4672584</t>
  </si>
  <si>
    <t>The Lubicon Lake Nation : Indigenous Knowledge and Power</t>
  </si>
  <si>
    <t>Martin-Hill, Dawn</t>
  </si>
  <si>
    <t>Cree Indians - Alberta - Lubicon Lake Region - Historiography</t>
  </si>
  <si>
    <t>https://ebookcentral.proquest.com/lib/viva-active/detail.action?docID=4672633</t>
  </si>
  <si>
    <t>Riot! : Tobacco, Reform, and Violence in Eighteenth-Century Papantla, Mexico</t>
  </si>
  <si>
    <t>Frederick, Jake</t>
  </si>
  <si>
    <t>Totonac Indians--Mexico--Papantla de Olarte--History--18th century.</t>
  </si>
  <si>
    <t>https://ebookcentral.proquest.com/lib/viva-active/detail.action?docID=4681340</t>
  </si>
  <si>
    <t>At the Border of Empires : The Tohono o'odham, Gender, and Assimilation, 1880-1934</t>
  </si>
  <si>
    <t>Marak, Andrae M.;Tuennerman, Laura</t>
  </si>
  <si>
    <t>Tohono O'odham women - Social conditions</t>
  </si>
  <si>
    <t>https://ebookcentral.proquest.com/lib/viva-active/detail.action?docID=4699601</t>
  </si>
  <si>
    <t>George Sword's Warrior Narratives : Compositional Processes in Lakota Oral Tradition</t>
  </si>
  <si>
    <t>Red Shirt, Delphine</t>
  </si>
  <si>
    <t>Native Americans - Social life and customs - Folklore</t>
  </si>
  <si>
    <t>https://ebookcentral.proquest.com/lib/viva-active/detail.action?docID=4713746</t>
  </si>
  <si>
    <t>A Rightful Place : A Road Map to Recognition</t>
  </si>
  <si>
    <t>Schwartz Publishing Pty, Limited</t>
  </si>
  <si>
    <t>Pearson, Noel;Morris, Shireen</t>
  </si>
  <si>
    <t>Aboriginal Australians--Legal status, laws, etc.</t>
  </si>
  <si>
    <t>https://ebookcentral.proquest.com/lib/viva-active/detail.action?docID=4715296</t>
  </si>
  <si>
    <t>Salvage : Cultural Resilience among the Jorai of Northeast Cambodia</t>
  </si>
  <si>
    <t>Uk, Krisna</t>
  </si>
  <si>
    <t>Jarai (Southeast Asian people)--Cambodia--Rotanokiri (Province)</t>
  </si>
  <si>
    <t>https://ebookcentral.proquest.com/lib/viva-active/detail.action?docID=4737188</t>
  </si>
  <si>
    <t>Better Than Welfare? : Work and livelihoods for Indigenous Australians after CDEP</t>
  </si>
  <si>
    <t>Jordan, Kirrily</t>
  </si>
  <si>
    <t>Indigenous peoples--Employment--Australia.</t>
  </si>
  <si>
    <t>https://ebookcentral.proquest.com/lib/viva-active/detail.action?docID=4743574</t>
  </si>
  <si>
    <t>Engendering Households in the Prehistoric Southwest</t>
  </si>
  <si>
    <t>Roth, Barbara J.</t>
  </si>
  <si>
    <t>Women, Prehistoric - Southwest, New - History</t>
  </si>
  <si>
    <t>https://ebookcentral.proquest.com/lib/viva-active/detail.action?docID=4790341</t>
  </si>
  <si>
    <t>Mythologizing Norval Morrisseau : Art and the Colonial Narrative in the Canadian Media</t>
  </si>
  <si>
    <t>University of Manitoba Press</t>
  </si>
  <si>
    <t>Robertson, Carmen L.;Rubenstein, H.;Robertson, Carmen</t>
  </si>
  <si>
    <t>Indigenous peoples--Canada--History.</t>
  </si>
  <si>
    <t>https://ebookcentral.proquest.com/lib/viva-active/detail.action?docID=4801613</t>
  </si>
  <si>
    <t>A Knock on the Door : The Essential History of Residential Schools from the Truth and Reconciliation Commission of Canada, Edited and Abridged</t>
  </si>
  <si>
    <t>Perceptions on Truth and Reconciliation Ser.</t>
  </si>
  <si>
    <t>Fontaine, Phil;Truth and Reconciliation Commission of Canada Staff;Craft, Aimée</t>
  </si>
  <si>
    <t>Indians of North America - Canada - Social conditions - 20th century</t>
  </si>
  <si>
    <t>https://ebookcentral.proquest.com/lib/viva-active/detail.action?docID=4801614</t>
  </si>
  <si>
    <t>A Culture's Catalyst : Historical Encounters with Peyote and the Native American Church in Canada</t>
  </si>
  <si>
    <t>Kahan, Fannie;Dyck, Erika;Hoffer, Abram;Blewett, Duncan;Osmond, Humphry;Weckowicz, Teodoro</t>
  </si>
  <si>
    <t>Peyotism--Canada.</t>
  </si>
  <si>
    <t>https://ebookcentral.proquest.com/lib/viva-active/detail.action?docID=4801615</t>
  </si>
  <si>
    <t>A Two-Spirit Journey : The Autobiography of a Lesbian Ojibwa-Cree Elder</t>
  </si>
  <si>
    <t>Critical Studies in Native History Ser.</t>
  </si>
  <si>
    <t>Chacaby, Ma-Nee;Plummer, Mary Louisa</t>
  </si>
  <si>
    <t>Cree Indians - Ontario - Thunder Bay</t>
  </si>
  <si>
    <t>https://ebookcentral.proquest.com/lib/viva-active/detail.action?docID=4801617</t>
  </si>
  <si>
    <t>Living Treaties : Narrating Mi’kmaw Treaty Relations</t>
  </si>
  <si>
    <t>Cape Breton University Press</t>
  </si>
  <si>
    <t>Battiste, Marie</t>
  </si>
  <si>
    <t>Micmac Indians--Claims.</t>
  </si>
  <si>
    <t>https://ebookcentral.proquest.com/lib/viva-active/detail.action?docID=4814051</t>
  </si>
  <si>
    <t>Aboriginal Populations : Social, Demographic, and Epidemiological Perspectives</t>
  </si>
  <si>
    <t>The University of Alberta Press</t>
  </si>
  <si>
    <t>Trovato, Frank;Romaniuk, Anatole</t>
  </si>
  <si>
    <t>Indigenous peoples--Population.</t>
  </si>
  <si>
    <t>https://ebookcentral.proquest.com/lib/viva-active/detail.action?docID=4827006</t>
  </si>
  <si>
    <t>Healing Histories : Stories from Canada's Indian Hospitals</t>
  </si>
  <si>
    <t>Meijer Drees, Laurie</t>
  </si>
  <si>
    <t>Tuberculosis--Hospitals--Canada--History--20th century.</t>
  </si>
  <si>
    <t>https://ebookcentral.proquest.com/lib/viva-active/detail.action?docID=4827350</t>
  </si>
  <si>
    <t>Metis in Canada : History, Identity, Law and Politics</t>
  </si>
  <si>
    <t>Adams, Christopher;Dahl, Gregg;Peach, Ian</t>
  </si>
  <si>
    <t>Mâetis--History.</t>
  </si>
  <si>
    <t>https://ebookcentral.proquest.com/lib/viva-active/detail.action?docID=4827377</t>
  </si>
  <si>
    <t>Caddo Landscapes in the East Texas Forests</t>
  </si>
  <si>
    <t>Oxbow Books</t>
  </si>
  <si>
    <t>Perttula, Tim</t>
  </si>
  <si>
    <t>Caddo Indians--Texas--History.</t>
  </si>
  <si>
    <t>https://ebookcentral.proquest.com/lib/viva-active/detail.action?docID=4827503</t>
  </si>
  <si>
    <t>Apostate Englishman : Grey Owl the Writer and the Myths</t>
  </si>
  <si>
    <t>Braz, Albert</t>
  </si>
  <si>
    <t>Conservationists--Canada--Biography.</t>
  </si>
  <si>
    <t>https://ebookcentral.proquest.com/lib/viva-active/detail.action?docID=4828017</t>
  </si>
  <si>
    <t>Decolonizing Employment : Aboriginal Inclusion in Canada's Labour Market</t>
  </si>
  <si>
    <t>Human Rights and Social Justice</t>
  </si>
  <si>
    <t>MacKinnon, Shauna;Muller, Adam;Woolford, Andrew;Busby, Karen;Woolford, Andrew</t>
  </si>
  <si>
    <t>Human rights - Museums - Political aspects</t>
  </si>
  <si>
    <t>https://ebookcentral.proquest.com/lib/viva-active/detail.action?docID=4828024</t>
  </si>
  <si>
    <t>Elder Brother and the Law of the People : Contemporary Kinship and Cowessess First Nation</t>
  </si>
  <si>
    <t>Innes, Robert Alexander;University of Manitoba Press Staff</t>
  </si>
  <si>
    <t>Indigenous peoples--Kinship--Saskatchewan.</t>
  </si>
  <si>
    <t>https://ebookcentral.proquest.com/lib/viva-active/detail.action?docID=4828026</t>
  </si>
  <si>
    <t>Finding a Way to the Heart : Feminist Writings on Aboriginal and Women's History in Canada</t>
  </si>
  <si>
    <t>Brownlie, Robin Jarvis;Korinek, Valerie J.;University of Manitoba Press Staff</t>
  </si>
  <si>
    <t>Indians of North America--Canada--Historiography.</t>
  </si>
  <si>
    <t>https://ebookcentral.proquest.com/lib/viva-active/detail.action?docID=4828027</t>
  </si>
  <si>
    <t>A National Crime : The Canadian Government and the Residential School System</t>
  </si>
  <si>
    <t>Milloy, John S.;McCallum, Mary Jane Logan</t>
  </si>
  <si>
    <t>Indians of North America--Education--Canada--History.</t>
  </si>
  <si>
    <t>https://ebookcentral.proquest.com/lib/viva-active/detail.action?docID=4828048</t>
  </si>
  <si>
    <t>Masculindians : Conversations about Indigenous Manhood</t>
  </si>
  <si>
    <t>McKegney, Sam;Boyden, Joseph;Highway, Tomson;Maracle, Lee;Sinclair, Niigaanwewidam James;Johnston, Basil H.;Claxton, Dana;Moses, Daniel David;Halfe, Louise Bernice;Alfred, Taiaiake</t>
  </si>
  <si>
    <t>Indians of North America--Psychology.</t>
  </si>
  <si>
    <t>https://ebookcentral.proquest.com/lib/viva-active/detail.action?docID=4828061</t>
  </si>
  <si>
    <t>Settlement, Subsistence and Change Among the Labrador Inuit : The Nunatsiavummiut Experience (Contemporary Studies of the North)</t>
  </si>
  <si>
    <t>Contemporary Studies on the North Ser.</t>
  </si>
  <si>
    <t>Proctor, Andrea;Natcher, David C.;Felt, Lawrence</t>
  </si>
  <si>
    <t>Excavations (Archaeology) - Newfoundland and Labrador - Labrador</t>
  </si>
  <si>
    <t>https://ebookcentral.proquest.com/lib/viva-active/detail.action?docID=4828064</t>
  </si>
  <si>
    <t>Devil in Deerskins : My Life with Grey Owl</t>
  </si>
  <si>
    <t>First Voices, First Texts</t>
  </si>
  <si>
    <t>Anahareo;McCall, Sophie</t>
  </si>
  <si>
    <t>Indians of North America--Canada--Biography.</t>
  </si>
  <si>
    <t>https://ebookcentral.proquest.com/lib/viva-active/detail.action?docID=4828069</t>
  </si>
  <si>
    <t>Sanaaq : An Inuit Novel</t>
  </si>
  <si>
    <t>Nappaaluk, Mitiarjuk;d'Anglure, Bernard Saladin;Frost, Peter;Avataq Cultural Institute,</t>
  </si>
  <si>
    <t>Inuit literature--Canada--Translations into English.</t>
  </si>
  <si>
    <t>https://ebookcentral.proquest.com/lib/viva-active/detail.action?docID=4828072</t>
  </si>
  <si>
    <t>Mind's Eye : Stories from Whapmagoostui</t>
  </si>
  <si>
    <t>Aanischaaukamikw Cree Cultural Institute</t>
  </si>
  <si>
    <t>Marshall, Susan;Masty, Emily</t>
  </si>
  <si>
    <t>Cree Indians.</t>
  </si>
  <si>
    <t>https://ebookcentral.proquest.com/lib/viva-active/detail.action?docID=4828081</t>
  </si>
  <si>
    <t>We Share Our Matters : Two Centuries of Writing and Resistance at Six Nations of the Grand River</t>
  </si>
  <si>
    <t>Monture, Rick</t>
  </si>
  <si>
    <t>Iroquois Indians--Ontario, Southern--History.</t>
  </si>
  <si>
    <t>https://ebookcentral.proquest.com/lib/viva-active/detail.action?docID=4828084</t>
  </si>
  <si>
    <t>Life among the Qallunaat</t>
  </si>
  <si>
    <t>Freeman, Mini Aodla;Martin, Keavy;Rak, Julie;Dunning, Norma</t>
  </si>
  <si>
    <t>Inuit--Canada--Biography.</t>
  </si>
  <si>
    <t>https://ebookcentral.proquest.com/lib/viva-active/detail.action?docID=4828095</t>
  </si>
  <si>
    <t>Indians Don't Cry : Gaawiin Mawisiiwag Anishinaabeg</t>
  </si>
  <si>
    <t>Kenny, George;Eigenbrod, Renate;Ningewance, Patricia M.</t>
  </si>
  <si>
    <t>Short stories, Canadian - Indian authors</t>
  </si>
  <si>
    <t>https://ebookcentral.proquest.com/lib/viva-active/detail.action?docID=4828112</t>
  </si>
  <si>
    <t>Indigenous Women, Work, and History : 1940-1980</t>
  </si>
  <si>
    <t>McCallum, Mary Jane Logan</t>
  </si>
  <si>
    <t>Indian women--Canada--History--Economic conditions--20th century.</t>
  </si>
  <si>
    <t>https://ebookcentral.proquest.com/lib/viva-active/detail.action?docID=4828116</t>
  </si>
  <si>
    <t>Indigenous Men and Masculinities : Legacies, Identities, Regeneration</t>
  </si>
  <si>
    <t>Innes, Robert Alexander;Anderson, Kim;Cariou, Warren;Tengan, Ty P. Kāwika;Hokowhitu, Brendan;Justice, Daniel Heath;Scofield, Gregory;Sinclair, Niigaanwewidam James;McKegney, Sam;Antone, Bob</t>
  </si>
  <si>
    <t>Indian men--Identity.</t>
  </si>
  <si>
    <t>https://ebookcentral.proquest.com/lib/viva-active/detail.action?docID=4828129</t>
  </si>
  <si>
    <t>Stories in a New Skin : Approaches to Inuit Literature</t>
  </si>
  <si>
    <t>Martin, Keavy</t>
  </si>
  <si>
    <t>Inuit literature--Canada--History and criticism.</t>
  </si>
  <si>
    <t>https://ebookcentral.proquest.com/lib/viva-active/detail.action?docID=4828140</t>
  </si>
  <si>
    <t>Creating Space : My Life and Work in Indigenous Education</t>
  </si>
  <si>
    <t>Kirkness, Verna J.;University of Manitoba Press Staff</t>
  </si>
  <si>
    <t>Indian educators--Canada--Biography.</t>
  </si>
  <si>
    <t>https://ebookcentral.proquest.com/lib/viva-active/detail.action?docID=4828141</t>
  </si>
  <si>
    <t>For King and Kanata : Canadian Indians and the First World War</t>
  </si>
  <si>
    <t>Winegard, Timothy C.;University of Manitoba Press Staff</t>
  </si>
  <si>
    <t>World War, 1914-1918--Participation, Indian.</t>
  </si>
  <si>
    <t>https://ebookcentral.proquest.com/lib/viva-active/detail.action?docID=4828154</t>
  </si>
  <si>
    <t>Medicine Unbundled : A Journey Through the Minefields of Indigenous Health Care</t>
  </si>
  <si>
    <t>Heritage House</t>
  </si>
  <si>
    <t>Geddes, Gary</t>
  </si>
  <si>
    <t>Hospitals--Canada.</t>
  </si>
  <si>
    <t>https://ebookcentral.proquest.com/lib/viva-active/detail.action?docID=4836769</t>
  </si>
  <si>
    <t>"Real" Indians and Others: Mixed-Blood Urban Native Peoples and Indigenous Nationhood</t>
  </si>
  <si>
    <t>Lawrence, Bonita</t>
  </si>
  <si>
    <t>Indians of North America--Urban residence--Canada.</t>
  </si>
  <si>
    <t>https://ebookcentral.proquest.com/lib/viva-active/detail.action?docID=4840071</t>
  </si>
  <si>
    <t>The Anthropology of Marriage in Lowland South America : Bending and Breaking the Rules</t>
  </si>
  <si>
    <t>Valentine, Paul;Beckerman, Stephen;Alès, Catherine</t>
  </si>
  <si>
    <t>Indians of South America--Marriage customs and rites.</t>
  </si>
  <si>
    <t>https://ebookcentral.proquest.com/lib/viva-active/detail.action?docID=4843066</t>
  </si>
  <si>
    <t>Patriots and Indians : Shaping Identity in Eighteenth-Century South Carolina</t>
  </si>
  <si>
    <t>Dennis, Jeff W.</t>
  </si>
  <si>
    <t>Indians of North America - South Carolina - Government relations - History - 18th century</t>
  </si>
  <si>
    <t>https://ebookcentral.proquest.com/lib/viva-active/detail.action?docID=4844366</t>
  </si>
  <si>
    <t>Archaeology of the Everglades</t>
  </si>
  <si>
    <t>Griffin, John W.;Miller, James J.;Griffin, Patricia C.</t>
  </si>
  <si>
    <t>Indians of North America--Florida--Everglades National Park--Antiquities.</t>
  </si>
  <si>
    <t>https://ebookcentral.proquest.com/lib/viva-active/detail.action?docID=4851137</t>
  </si>
  <si>
    <t>Calvin Coolidge in the Black Hills</t>
  </si>
  <si>
    <t>Arcadia Publishing</t>
  </si>
  <si>
    <t>Tupper, Seth</t>
  </si>
  <si>
    <t>Coolidge, Calvin,-1872-1933. ; Coolidge, Calvin,-1872-1933.-fast-(OCoLC)fst00015004., ; Presidents-Homes and haunts-Black Hills (S.D. and Wyo.) ; Presidents-Homes and haunts-South Dakota. ; Presidents-Homes and haunts.-fast-(OCoLC)fst01075768., ; South Dakota.-fast-(OCoLC)fst01204322., ; United States-Black Hills.-fast-(OCoLC)fst01310332.,</t>
  </si>
  <si>
    <t>https://ebookcentral.proquest.com/lib/viva-active/detail.action?docID=4852816</t>
  </si>
  <si>
    <t>Rethinking Social Justice : From 'peoples' to 'populations'</t>
  </si>
  <si>
    <t>AIATSIS</t>
  </si>
  <si>
    <t>Rowse, Timothy</t>
  </si>
  <si>
    <t>Aboriginal Australians--Cultural assimilation.</t>
  </si>
  <si>
    <t>https://ebookcentral.proquest.com/lib/viva-active/detail.action?docID=4853881</t>
  </si>
  <si>
    <t>Native Seattle : Histories from the Crossing-Over Place, Second Edition</t>
  </si>
  <si>
    <t>Indians of North America--Washington (State)--Seattle--History.</t>
  </si>
  <si>
    <t>https://ebookcentral.proquest.com/lib/viva-active/detail.action?docID=4858175</t>
  </si>
  <si>
    <t>The History of the Five Indian Nations Depending on the Province of New-York in America : A Critical Edition</t>
  </si>
  <si>
    <t>Colden, Cadwallader;Dixon, John M.;Tiro, Karim M.</t>
  </si>
  <si>
    <t>Iroquois Indians</t>
  </si>
  <si>
    <t>https://ebookcentral.proquest.com/lib/viva-active/detail.action?docID=4866349</t>
  </si>
  <si>
    <t>Annie Muktuk and Other Stories</t>
  </si>
  <si>
    <t>University of Alberta Press</t>
  </si>
  <si>
    <t>Robert Kroetsch Ser.</t>
  </si>
  <si>
    <t>Dunning, Norma</t>
  </si>
  <si>
    <t>Short stories, Canadian.</t>
  </si>
  <si>
    <t>https://ebookcentral.proquest.com/lib/viva-active/detail.action?docID=4877999</t>
  </si>
  <si>
    <t>Traditions, Traps and Trends : Transfer of Knowledge in Arctic Regions</t>
  </si>
  <si>
    <t>Oosten, Jarich;Miller, Barbara Helen;Buijs, Cunera;Laugrand, édéric;Olsthoorn, Thea;Rasing, Willem;Van Dam, Kim;Zorgdrager, Nellejet</t>
  </si>
  <si>
    <t>Oral tradition. ; Traditional ecological knowledge. ; Knowledge, Theory of-Cross-cultural studies.</t>
  </si>
  <si>
    <t>https://ebookcentral.proquest.com/lib/viva-active/detail.action?docID=4891130</t>
  </si>
  <si>
    <t>Postcolonial Voices from Downunder : Indigenous Matters, Confronting Readings</t>
  </si>
  <si>
    <t>Wipf and Stock Publishers</t>
  </si>
  <si>
    <t>Havea, Jione</t>
  </si>
  <si>
    <t>Christianity and culture--Australia.</t>
  </si>
  <si>
    <t>https://ebookcentral.proquest.com/lib/viva-active/detail.action?docID=4917283</t>
  </si>
  <si>
    <t>Water from Stone : Archaeology and Conservation at Florida's Springs</t>
  </si>
  <si>
    <t>O'Donoughue, Jason</t>
  </si>
  <si>
    <t>Indians of North America--Florida--Saint Johns River Valley--Antiquities.</t>
  </si>
  <si>
    <t>https://ebookcentral.proquest.com/lib/viva-active/detail.action?docID=4926422</t>
  </si>
  <si>
    <t>Comparing Ethnographies : Local Studies of Education Across the Americas</t>
  </si>
  <si>
    <t>American Educational Research Association</t>
  </si>
  <si>
    <t>Anderson-Levitt, Kathyrn;Rockwell , Elsie</t>
  </si>
  <si>
    <t>Education; Social Science</t>
  </si>
  <si>
    <t>Educational anthropology--America--Cross-cultural studies.</t>
  </si>
  <si>
    <t>https://ebookcentral.proquest.com/lib/viva-active/detail.action?docID=4941971</t>
  </si>
  <si>
    <t>A Clan Mother's Call : Reconstructing Haudenosaunee Cultural Memory</t>
  </si>
  <si>
    <t>SUNY Series in Critical Haudenosaunee Studies</t>
  </si>
  <si>
    <t>Rodriguez, Jeanette;Wakerahkats:the, Iakoiane</t>
  </si>
  <si>
    <t>Iroquois women--Biography.</t>
  </si>
  <si>
    <t>https://ebookcentral.proquest.com/lib/viva-active/detail.action?docID=4983634</t>
  </si>
  <si>
    <t>The Specter of the Indian : Race, Gender, and Ghosts in American Seances, 1848-1890</t>
  </si>
  <si>
    <t>Troy, Kathryn</t>
  </si>
  <si>
    <t>Indians of North America--Religion.</t>
  </si>
  <si>
    <t>https://ebookcentral.proquest.com/lib/viva-active/detail.action?docID=4985954</t>
  </si>
  <si>
    <t>Network Sovereignty : Building the Internet Across Indian Country</t>
  </si>
  <si>
    <t>Duarte, Marisa Elena</t>
  </si>
  <si>
    <t>Indians of North America - Government relations - History - 21st century</t>
  </si>
  <si>
    <t>https://ebookcentral.proquest.com/lib/viva-active/detail.action?docID=4987329</t>
  </si>
  <si>
    <t>Unlikely Alliances : Native Nations and White Communities Join to Defend Rural Lands</t>
  </si>
  <si>
    <t>Grossman, Zoltán;LaDuke, Winona</t>
  </si>
  <si>
    <t>Indians of North America - Land tenure - West (U.S.)</t>
  </si>
  <si>
    <t>https://ebookcentral.proquest.com/lib/viva-active/detail.action?docID=4987337</t>
  </si>
  <si>
    <t>Dismembered : Native Disenrollment and the Battle for Human Rights</t>
  </si>
  <si>
    <t>Wilkins, David E.;Wilkins, Shelly Hulse</t>
  </si>
  <si>
    <t>Indians of North America - Tribal citizenship</t>
  </si>
  <si>
    <t>https://ebookcentral.proquest.com/lib/viva-active/detail.action?docID=4987346</t>
  </si>
  <si>
    <t>Handbook of Indigenous Religion(s)</t>
  </si>
  <si>
    <t>Brill Handbooks on Contemporary Religion Ser.</t>
  </si>
  <si>
    <t>Johnson, Greg;Kraft, Siv Ellen</t>
  </si>
  <si>
    <t>Indigenous peoples--Religion.</t>
  </si>
  <si>
    <t>https://ebookcentral.proquest.com/lib/viva-active/detail.action?docID=5024346</t>
  </si>
  <si>
    <t>Harney Flats : A Florida Paleoindian Site</t>
  </si>
  <si>
    <t>Florida Museum of Natural History: Riple Ser.</t>
  </si>
  <si>
    <t>Daniel, I. Randolph;Wisenbaker, Michael;Goodyear, Albert C.</t>
  </si>
  <si>
    <t>Paleo-Indians--Florida.</t>
  </si>
  <si>
    <t>https://ebookcentral.proquest.com/lib/viva-active/detail.action?docID=5047224</t>
  </si>
  <si>
    <t>Pictographs : The Graphic Art of James Simon Mishibinijima</t>
  </si>
  <si>
    <t>The Porcupine's Quill</t>
  </si>
  <si>
    <t>Simon, James</t>
  </si>
  <si>
    <t>Graphic artists.</t>
  </si>
  <si>
    <t>https://ebookcentral.proquest.com/lib/viva-active/detail.action?docID=5047273</t>
  </si>
  <si>
    <t>The Writing on the Wall : The Work of Joane Cardinal-Schubert</t>
  </si>
  <si>
    <t>Art in Profile: Canadian Art and Architecture Ser.</t>
  </si>
  <si>
    <t>Sharman, Lindsey</t>
  </si>
  <si>
    <t>Painters-Canada-Biography. ; Cardinal-Schubert, Joane,-1942-2009.</t>
  </si>
  <si>
    <t>https://ebookcentral.proquest.com/lib/viva-active/detail.action?docID=5085097</t>
  </si>
  <si>
    <t>Fire and Desolation : The Revolutionary War's 1778 Campaign As Waged from Quebec and Niagara Against the American Frontiers</t>
  </si>
  <si>
    <t>Watt, Gavin K.</t>
  </si>
  <si>
    <t>United States--History--Revolution, 1775-1783--Campaigns.</t>
  </si>
  <si>
    <t>https://ebookcentral.proquest.com/lib/viva-active/detail.action?docID=5104686</t>
  </si>
  <si>
    <t>Recovering Native American Writings in the Boarding School Press</t>
  </si>
  <si>
    <t>Emery, Jacqueline</t>
  </si>
  <si>
    <t>American literature--Indian authors.</t>
  </si>
  <si>
    <t>https://ebookcentral.proquest.com/lib/viva-active/detail.action?docID=5109875</t>
  </si>
  <si>
    <t>Pathways to Indigenous Nation Sovereignty : A Chronicle of Federal Policy Developments</t>
  </si>
  <si>
    <t>Parker, Alan R.</t>
  </si>
  <si>
    <t>Indians of North America-Government relations.</t>
  </si>
  <si>
    <t>https://ebookcentral.proquest.com/lib/viva-active/detail.action?docID=5153825</t>
  </si>
  <si>
    <t>Towards a Prairie Atonement</t>
  </si>
  <si>
    <t>University of Regina</t>
  </si>
  <si>
    <t>The Regina Collection</t>
  </si>
  <si>
    <t>Herriot, Trevor</t>
  </si>
  <si>
    <t>Métis-Manitoba-Ste. Madeleine-History. ; Métis-Land tenure-Manitoba-Ste. Madeleine-History. ; Grassland ecology-Manitoba-Ste. Madeleine. ; Ste. Madeleine (Man.)-Ethnic relations-History. ; Ste. Madeleine (Man.)-History.</t>
  </si>
  <si>
    <t>https://ebookcentral.proquest.com/lib/viva-active/detail.action?docID=5200659</t>
  </si>
  <si>
    <t>Firewater : How Alcohol Is Killing My People (and Yours)</t>
  </si>
  <si>
    <t>Johnson, Harold R.</t>
  </si>
  <si>
    <t>Indians of North America-Alcohol use-Canada. ; Alcoholism-Social aspects-Canada. ; Alcoholism-Treatment-Canada. ; Drinking of alcoholic beverages-Social aspects-Canada. ; Drinking of alcoholic beverages-History. ; Spiritual healing.</t>
  </si>
  <si>
    <t>https://ebookcentral.proquest.com/lib/viva-active/detail.action?docID=5200661</t>
  </si>
  <si>
    <t>The Education of Augie Merasty : A Residential School Memoir</t>
  </si>
  <si>
    <t>Merasty, Joseph Auguste;Carpenter, David</t>
  </si>
  <si>
    <t>Merasty, Joseph Auguste. ; Cree children-Saskatchewan-Biography. ; Adult child abuse victims-Saskatchewan-Biography.</t>
  </si>
  <si>
    <t>https://ebookcentral.proquest.com/lib/viva-active/detail.action?docID=5200986</t>
  </si>
  <si>
    <t>Inside the Ark : The Hutterites in Canada and the United States</t>
  </si>
  <si>
    <t>Katz, Yossi;Lehr, John</t>
  </si>
  <si>
    <t>Hutterian Brethren-Canada-History. ; Hutterian Brethren-United States-History.</t>
  </si>
  <si>
    <t>https://ebookcentral.proquest.com/lib/viva-active/detail.action?docID=5202715</t>
  </si>
  <si>
    <t>Clearing the Plains : Disease, Politics of Starvation, and the Loss of Aboriginal Life</t>
  </si>
  <si>
    <t>Daschuk, James</t>
  </si>
  <si>
    <t>Indians of North America-Canada, Western-History. ; Indians of North America-Diseases-Canada, Western-History. ; Indians of North America-Health and hygiene-Canada, Western-History. ; Indians of North America-Canada-Government relations. ; Canada, Western-Colonization-Health aspects-History. ; Canada, Western-Ethnic relations-History.</t>
  </si>
  <si>
    <t>https://ebookcentral.proquest.com/lib/viva-active/detail.action?docID=5202716</t>
  </si>
  <si>
    <t>100 Days of Cree</t>
  </si>
  <si>
    <t>McLeod, Neal;Wolvengrey, Arok</t>
  </si>
  <si>
    <t>Cree language-Vocabulary.</t>
  </si>
  <si>
    <t>https://ebookcentral.proquest.com/lib/viva-active/detail.action?docID=5202722</t>
  </si>
  <si>
    <t>Woods Cree Stories</t>
  </si>
  <si>
    <t>Ratt, Solomon</t>
  </si>
  <si>
    <t>Cree language-Readers. ; Cree language-Glossaries, vocabularies, etc. ; Cree Indians-Humor.</t>
  </si>
  <si>
    <t>https://ebookcentral.proquest.com/lib/viva-active/detail.action?docID=5202730</t>
  </si>
  <si>
    <t>The Knowledge Seeker : Embracing Indigenous Spirituality</t>
  </si>
  <si>
    <t>Stonechild, Blair;Starblanket, Noel</t>
  </si>
  <si>
    <t>Cree Indians-Religion. ; Cree Indians-Education. ; Ojibwa Indians-Religion. ; Ojibwa Indians-Education.</t>
  </si>
  <si>
    <t>https://ebookcentral.proquest.com/lib/viva-active/detail.action?docID=5202732</t>
  </si>
  <si>
    <t>#IdleNoMore : And the Remaking of Canada</t>
  </si>
  <si>
    <t>Coates, Ken</t>
  </si>
  <si>
    <t>Idle No More (Movement) ; Protest movements-Canada. ; Indians of North Americ-Canada-Government relations. ; Indians of North America-Canada-Ethnic identity.</t>
  </si>
  <si>
    <t>https://ebookcentral.proquest.com/lib/viva-active/detail.action?docID=5202733</t>
  </si>
  <si>
    <t>Reinvesting in Families : Strengthening Child Welfare Practice for a Brighter Future: Voices from the Prairies</t>
  </si>
  <si>
    <t>Badry, Dorothy;Fuchs, Don;McKay, Sharon;Montgomery, H. Monty</t>
  </si>
  <si>
    <t>Child welfare-Prairie Provinces. ; Family services-Prairie Provinces. ; Indian children-Services for-Prairie Provinces. ; Indian children-Prairie Provinces-Social conditions.</t>
  </si>
  <si>
    <t>https://ebookcentral.proquest.com/lib/viva-active/detail.action?docID=5202735</t>
  </si>
  <si>
    <t>Frontier Farewell : The 1870s and the End of the Old West</t>
  </si>
  <si>
    <t>Wilson, Garrett</t>
  </si>
  <si>
    <t>Northwest, Canadian-History-19th century. ; West (U.S.)-History-1860-1890. ; Great Plains-History-19th century.</t>
  </si>
  <si>
    <t>https://ebookcentral.proquest.com/lib/viva-active/detail.action?docID=5202736</t>
  </si>
  <si>
    <t>Reading Inebriation in Early Colonial Peru</t>
  </si>
  <si>
    <t>New Hispanisms: Cultural and Literary Studies</t>
  </si>
  <si>
    <t>Morales, Mónica P.</t>
  </si>
  <si>
    <t>Indians of South America-Alcohol use-Peru. ; Incas-Alcohol use. ; Peru-History-Conquest, 1522-1548. ; Peru-History-1548-1820-Historiography. ; Peru-Colonization-Historiography.</t>
  </si>
  <si>
    <t>https://ebookcentral.proquest.com/lib/viva-active/detail.action?docID=5207770</t>
  </si>
  <si>
    <t>Critical Reflections on Indigenous Religions</t>
  </si>
  <si>
    <t>Cox, James L.</t>
  </si>
  <si>
    <t>Indigenous peoples-Religion.</t>
  </si>
  <si>
    <t>https://ebookcentral.proquest.com/lib/viva-active/detail.action?docID=5208345</t>
  </si>
  <si>
    <t>A Land Not Forgotten : Indigenous Food Security and Land-Based Practices in Northern Ontario</t>
  </si>
  <si>
    <t>Robidoux, Michael A.;Mason, Courtney W.</t>
  </si>
  <si>
    <t>Food security-Ontario, Northern. ; Food-Social aspects-Ontario, Northern. ; Indians of North America-Food-Ontario, Northern.</t>
  </si>
  <si>
    <t>https://ebookcentral.proquest.com/lib/viva-active/detail.action?docID=5219769</t>
  </si>
  <si>
    <t>From the Tundra to the Trenches</t>
  </si>
  <si>
    <t>Weetaltuk, Eddy;Martin, Thibault;St. Amand, Isabelle</t>
  </si>
  <si>
    <t>Inuit. ; Weetaltuk, Eddy,-1932-2005. ; Inuit-Canada-Biography. ; Korean War, 1950-1953-Canada-Biography. ; Soldiers-Canada-Biography.</t>
  </si>
  <si>
    <t>https://ebookcentral.proquest.com/lib/viva-active/detail.action?docID=5220841</t>
  </si>
  <si>
    <t>Flowers in the Wall : Truth and Reconciliation in Timor-Leste, Indonesia, and Melanesia</t>
  </si>
  <si>
    <t>Global Indigenous Issues Ser.</t>
  </si>
  <si>
    <t>Webster, David</t>
  </si>
  <si>
    <t>Truth commissions-Indonesia. ; Truth commissions-Timor-Leste. ; Truth commissions-Solomon Islands.</t>
  </si>
  <si>
    <t>https://ebookcentral.proquest.com/lib/viva-active/detail.action?docID=5223989</t>
  </si>
  <si>
    <t>Talking Indian : Identity and Language Revitalization in the Chickasaw Renaissance</t>
  </si>
  <si>
    <t>Davis, Jenny L.</t>
  </si>
  <si>
    <t>Chickasaw Indians-Oklahoma-Ethnic identity. ; Chickasaw language-Social aspects-Oklahoma. ; Language maintenance-Oklahoma. ; Anthropological linguistics-Oklahoma.</t>
  </si>
  <si>
    <t>https://ebookcentral.proquest.com/lib/viva-active/detail.action?docID=5261328</t>
  </si>
  <si>
    <t>Solomon Islanders in World War II : An Indigenous Perspective</t>
  </si>
  <si>
    <t>State, Society and Governance in Melanesia</t>
  </si>
  <si>
    <t>Kwai, Anna Annie</t>
  </si>
  <si>
    <t>World War, 1939-1945-Campaigns-Solomon Islands. ; Indigenous peoples-Solomon Islands.</t>
  </si>
  <si>
    <t>https://ebookcentral.proquest.com/lib/viva-active/detail.action?docID=5287241</t>
  </si>
  <si>
    <t>Declared Defective : Native Americans, Eugenics, and the Myth of Nam Hollow</t>
  </si>
  <si>
    <t>Critical Studies in the History of Anthropology</t>
  </si>
  <si>
    <t>Jarvenpa, Robert</t>
  </si>
  <si>
    <t>Indians of North America-New York (State) ; Racially mixed people-New York (State)</t>
  </si>
  <si>
    <t>https://ebookcentral.proquest.com/lib/viva-active/detail.action?docID=5326730</t>
  </si>
  <si>
    <t>Diagnosing the Legacy : The Discovery, Research, and Treatment of Type 2 Diabetes in Indigenous Youth</t>
  </si>
  <si>
    <t>Krotz, Larry;Desjarlais, Frances;Dean, Heather;McGavock, Jonathan;Moffatt, Michael;Sellers, Elizabeth</t>
  </si>
  <si>
    <t>Non-insulin-dependent diabetes-Manitoba. ; Diabetes in children-Manitoba. ; Indian youth-Diseases-Manitoba.</t>
  </si>
  <si>
    <t>https://ebookcentral.proquest.com/lib/viva-active/detail.action?docID=5328405</t>
  </si>
  <si>
    <t>By Law or In Justice : The Indian Specific Claims Commission and the Struggle for Indigenous Justice</t>
  </si>
  <si>
    <t>Dickson, Jane</t>
  </si>
  <si>
    <t>Canada.-Indian Claims Commission (1991-2009) ; Indians of North America-Canada-Claims.</t>
  </si>
  <si>
    <t>https://ebookcentral.proquest.com/lib/viva-active/detail.action?docID=5331305</t>
  </si>
  <si>
    <t>Hip Hop Beats, Indigenous Rhymes : Modernity and Hip Hop in Indigenous North America</t>
  </si>
  <si>
    <t>Mays, Kyle T.</t>
  </si>
  <si>
    <t>Indians of North America-Music-History and criticism. ; Rap (Music)-History and criticism. ; Hip-hop-North America.</t>
  </si>
  <si>
    <t>https://ebookcentral.proquest.com/lib/viva-active/detail.action?docID=5341450</t>
  </si>
  <si>
    <t>Peoples of the Inland Sea : Native Americans and Newcomers in the Great Lakes Region, 1600-1870</t>
  </si>
  <si>
    <t>New Approaches to Midwestern Studies</t>
  </si>
  <si>
    <t>Nichols, David Andrew</t>
  </si>
  <si>
    <t>Indians of North America-Great Lakes Region (North America)-History. ; HISTORY / United States / General.-bisacsh ; HISTORY / Native American.-bisacsh ; Great Lakes Region (North America)-History.</t>
  </si>
  <si>
    <t>https://ebookcentral.proquest.com/lib/viva-active/detail.action?docID=5402065</t>
  </si>
  <si>
    <t>The Luck of the Irish : How a Shipload of Convicts Survived the Wreck of the Hive to Make a New Life in Australia</t>
  </si>
  <si>
    <t>Allen &amp; Unwin</t>
  </si>
  <si>
    <t>Smith, Babette</t>
  </si>
  <si>
    <t>Prisons-Australia-History. ; Prisoners-Australia-New South Wales-History. ; Penal transportation-Australia-History.</t>
  </si>
  <si>
    <t>https://ebookcentral.proquest.com/lib/viva-active/detail.action?docID=5404400</t>
  </si>
  <si>
    <t>Indigenous Mobilities : Across and Beyond the Antipodes</t>
  </si>
  <si>
    <t>Standfield, Rachel</t>
  </si>
  <si>
    <t>Aboriginal Australians-Social life and customs.</t>
  </si>
  <si>
    <t>https://ebookcentral.proquest.com/lib/viva-active/detail.action?docID=5441196</t>
  </si>
  <si>
    <t>Potlatch as Pedagogy : Learning Through Ceremony</t>
  </si>
  <si>
    <t>Portage &amp; Main Press</t>
  </si>
  <si>
    <t>Davidson, Sara;Davidson, Robert</t>
  </si>
  <si>
    <t>Potlatch-British Columbia. ; Haida Indians-Education-British Columbia. ; Haida Indians-British Columbia-Rites and ceremonies.</t>
  </si>
  <si>
    <t>https://ebookcentral.proquest.com/lib/viva-active/detail.action?docID=5493224</t>
  </si>
  <si>
    <t>Naming the World : Language and Power among the Northern Arapaho</t>
  </si>
  <si>
    <t>Cowell, Andrew</t>
  </si>
  <si>
    <t>Language/Linguistics; Social Science</t>
  </si>
  <si>
    <t>Indians of North America-Social conditions.</t>
  </si>
  <si>
    <t>https://ebookcentral.proquest.com/lib/viva-active/detail.action?docID=5501847</t>
  </si>
  <si>
    <t>The Neoliberal State, Recognition and Indigenous Rights : New Paternalism to New Imaginings</t>
  </si>
  <si>
    <t>Centre for Aboriginal Economic Policy Research (CAEPR) Ser.</t>
  </si>
  <si>
    <t>Howard-Wagner, Deirdre;Bargh, Maria;Altamirano-Jiménez, Isabel</t>
  </si>
  <si>
    <t>Indigenous peoples-Civil rights. ; Aboriginal Australians-Civil rights. ; Maori (New Zealand people)-Civil rights. ; Indigenous peoples-Civil rights-Canada.</t>
  </si>
  <si>
    <t>https://ebookcentral.proquest.com/lib/viva-active/detail.action?docID=5508329</t>
  </si>
  <si>
    <t>In Defense of Wyam : Native-White Alliances and the Struggle for Celilo Village</t>
  </si>
  <si>
    <t>McKeown, Martha Ferguson,-1903-1974. ; Thompson, Flora Cushinway,-1893-1978. ; Celilo Falls Indian Relocation Project-Political aspects. ; Whites-Columbia River Valley-Relations with Indians. ; Indians of North America-Government relations-Oregon-Celilo. ; Indians of North America-Land tenure-Oregon-Celilo. ; Indians of North America-Relocation-Oregon-Celilo. ; Women-Oregon-Celilo-Biography. ; Celilo (Or.)-History. ; Wyam Indians-Biography.</t>
  </si>
  <si>
    <t>https://ebookcentral.proquest.com/lib/viva-active/detail.action?docID=5548387</t>
  </si>
  <si>
    <t>Before Yellowstone : Native American Archaeology in the National Park</t>
  </si>
  <si>
    <t>MacDonald, Douglas H.</t>
  </si>
  <si>
    <t>Indians of North America-Yellowtone National Park-History. ; Indians of North America-Yellowtone National Park-Antiquities. ; Excavations (Archaeology)-Yellowtone National Park. ; Yellowstone National Park-Antiquities.</t>
  </si>
  <si>
    <t>https://ebookcentral.proquest.com/lib/viva-active/detail.action?docID=5548436</t>
  </si>
  <si>
    <t>From Filmmaker Warriors to Flash Drive Shamans : Indigenous Media Production and Engagement in Latin America</t>
  </si>
  <si>
    <t>Vanderbilt Center for Latin American Studies Ser.</t>
  </si>
  <si>
    <t>Pace, Richard</t>
  </si>
  <si>
    <t>Indigenous peoples and mass media-Latin America. ; Mass media and culture-Latin America.</t>
  </si>
  <si>
    <t>https://ebookcentral.proquest.com/lib/viva-active/detail.action?docID=5566747</t>
  </si>
  <si>
    <t>Looking Back and Living Forward : Indigenous Research Rising Up</t>
  </si>
  <si>
    <t>Transgressions: Cultural Studies and Education Ser.</t>
  </si>
  <si>
    <t>Markides, Jennifer;Forsythe, Laura</t>
  </si>
  <si>
    <t>Ethnology. ; Indigenous peoples-Research.</t>
  </si>
  <si>
    <t>https://ebookcentral.proquest.com/lib/viva-active/detail.action?docID=5740046</t>
  </si>
  <si>
    <t>Tarascan Copper Metallurgy: a Multiapproach Perspective</t>
  </si>
  <si>
    <t>Archaeopress</t>
  </si>
  <si>
    <t>Archaeopress Pre-Columbian Archaeology Ser.</t>
  </si>
  <si>
    <t>Maldonado, Blanca Estela</t>
  </si>
  <si>
    <t>Metallurgy in archaeology-Mexico. ; Copper-Metallurgy. ; Tarasco Indians-Antiquities. ; Excavations (Archaeology)-Mexico.</t>
  </si>
  <si>
    <t>https://ebookcentral.proquest.com/lib/viva-active/detail.action?docID=5845629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</si>
</sst>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5C92-AD97-48ED-AB70-7654C81C273F}">
  <dimension ref="A1:I1355"/>
  <sheetViews>
    <sheetView tabSelected="1" workbookViewId="0"/>
  </sheetViews>
  <sheetFormatPr defaultRowHeight="14.5" x14ac:dyDescent="0.35"/>
  <cols>
    <col min="1" max="1" width="41.54296875" customWidth="1"/>
    <col min="2" max="2" width="19.7265625" customWidth="1"/>
    <col min="3" max="3" width="69.1796875" customWidth="1"/>
    <col min="4" max="4" width="24" customWidth="1"/>
    <col min="5" max="5" width="19.1796875" customWidth="1"/>
  </cols>
  <sheetData>
    <row r="1" spans="1:9" x14ac:dyDescent="0.35">
      <c r="A1" s="1" t="s">
        <v>0</v>
      </c>
      <c r="B1" s="1" t="s">
        <v>1</v>
      </c>
      <c r="C1" s="1" t="s">
        <v>7</v>
      </c>
      <c r="D1" s="1" t="s">
        <v>4</v>
      </c>
      <c r="E1" s="1" t="s">
        <v>2</v>
      </c>
      <c r="F1" s="1" t="s">
        <v>3</v>
      </c>
      <c r="H1" s="1" t="s">
        <v>5</v>
      </c>
      <c r="I1" s="1" t="s">
        <v>6</v>
      </c>
    </row>
    <row r="2" spans="1:9" x14ac:dyDescent="0.35">
      <c r="A2" t="s">
        <v>8</v>
      </c>
      <c r="B2" t="str">
        <f>"9780203464786"</f>
        <v>9780203464786</v>
      </c>
      <c r="C2" t="s">
        <v>14</v>
      </c>
      <c r="D2" t="s">
        <v>11</v>
      </c>
      <c r="E2" t="s">
        <v>9</v>
      </c>
      <c r="F2" t="s">
        <v>10</v>
      </c>
      <c r="H2" t="s">
        <v>12</v>
      </c>
      <c r="I2" t="s">
        <v>13</v>
      </c>
    </row>
    <row r="3" spans="1:9" x14ac:dyDescent="0.35">
      <c r="A3" t="s">
        <v>15</v>
      </c>
      <c r="B3" t="str">
        <f>"9780203634509"</f>
        <v>9780203634509</v>
      </c>
      <c r="C3" t="s">
        <v>19</v>
      </c>
      <c r="D3" t="s">
        <v>16</v>
      </c>
      <c r="E3" t="s">
        <v>9</v>
      </c>
      <c r="H3" t="s">
        <v>17</v>
      </c>
      <c r="I3" t="s">
        <v>18</v>
      </c>
    </row>
    <row r="4" spans="1:9" x14ac:dyDescent="0.35">
      <c r="A4" t="s">
        <v>20</v>
      </c>
      <c r="B4" t="str">
        <f>"9780203507834"</f>
        <v>9780203507834</v>
      </c>
      <c r="C4" t="s">
        <v>25</v>
      </c>
      <c r="D4" t="s">
        <v>22</v>
      </c>
      <c r="E4" t="s">
        <v>9</v>
      </c>
      <c r="F4" t="s">
        <v>21</v>
      </c>
      <c r="H4" t="s">
        <v>23</v>
      </c>
      <c r="I4" t="s">
        <v>24</v>
      </c>
    </row>
    <row r="5" spans="1:9" x14ac:dyDescent="0.35">
      <c r="A5" t="s">
        <v>26</v>
      </c>
      <c r="B5" t="str">
        <f>"9780203493656"</f>
        <v>9780203493656</v>
      </c>
      <c r="C5" t="s">
        <v>31</v>
      </c>
      <c r="D5" t="s">
        <v>28</v>
      </c>
      <c r="E5" t="s">
        <v>9</v>
      </c>
      <c r="F5" t="s">
        <v>27</v>
      </c>
      <c r="H5" t="s">
        <v>29</v>
      </c>
      <c r="I5" t="s">
        <v>30</v>
      </c>
    </row>
    <row r="6" spans="1:9" x14ac:dyDescent="0.35">
      <c r="A6" t="s">
        <v>32</v>
      </c>
      <c r="B6" t="str">
        <f>"9780203330265"</f>
        <v>9780203330265</v>
      </c>
      <c r="C6" t="s">
        <v>35</v>
      </c>
      <c r="D6" t="s">
        <v>33</v>
      </c>
      <c r="E6" t="s">
        <v>9</v>
      </c>
      <c r="F6" t="s">
        <v>27</v>
      </c>
      <c r="H6" t="s">
        <v>23</v>
      </c>
      <c r="I6" t="s">
        <v>34</v>
      </c>
    </row>
    <row r="7" spans="1:9" x14ac:dyDescent="0.35">
      <c r="A7" t="s">
        <v>36</v>
      </c>
      <c r="B7" t="str">
        <f>"9780203335949"</f>
        <v>9780203335949</v>
      </c>
      <c r="C7" t="s">
        <v>40</v>
      </c>
      <c r="D7" t="s">
        <v>37</v>
      </c>
      <c r="E7" t="s">
        <v>9</v>
      </c>
      <c r="F7" t="s">
        <v>27</v>
      </c>
      <c r="H7" t="s">
        <v>38</v>
      </c>
      <c r="I7" t="s">
        <v>39</v>
      </c>
    </row>
    <row r="8" spans="1:9" x14ac:dyDescent="0.35">
      <c r="A8" t="s">
        <v>41</v>
      </c>
      <c r="B8" t="str">
        <f>"9780520940918"</f>
        <v>9780520940918</v>
      </c>
      <c r="C8" t="s">
        <v>46</v>
      </c>
      <c r="D8" t="s">
        <v>43</v>
      </c>
      <c r="E8" t="s">
        <v>42</v>
      </c>
      <c r="H8" t="s">
        <v>44</v>
      </c>
      <c r="I8" t="s">
        <v>45</v>
      </c>
    </row>
    <row r="9" spans="1:9" x14ac:dyDescent="0.35">
      <c r="A9" t="s">
        <v>47</v>
      </c>
      <c r="B9" t="str">
        <f>"9780520941724"</f>
        <v>9780520941724</v>
      </c>
      <c r="C9" t="s">
        <v>51</v>
      </c>
      <c r="D9" t="s">
        <v>48</v>
      </c>
      <c r="E9" t="s">
        <v>42</v>
      </c>
      <c r="H9" t="s">
        <v>49</v>
      </c>
      <c r="I9" t="s">
        <v>50</v>
      </c>
    </row>
    <row r="10" spans="1:9" x14ac:dyDescent="0.35">
      <c r="A10" t="s">
        <v>52</v>
      </c>
      <c r="B10" t="str">
        <f>"9780511139147"</f>
        <v>9780511139147</v>
      </c>
      <c r="C10" t="s">
        <v>57</v>
      </c>
      <c r="D10" t="s">
        <v>54</v>
      </c>
      <c r="E10" t="s">
        <v>53</v>
      </c>
      <c r="H10" t="s">
        <v>55</v>
      </c>
      <c r="I10" t="s">
        <v>56</v>
      </c>
    </row>
    <row r="11" spans="1:9" x14ac:dyDescent="0.35">
      <c r="A11" t="s">
        <v>58</v>
      </c>
      <c r="B11" t="str">
        <f>"9781405156127"</f>
        <v>9781405156127</v>
      </c>
      <c r="C11" t="s">
        <v>63</v>
      </c>
      <c r="D11" t="s">
        <v>61</v>
      </c>
      <c r="E11" t="s">
        <v>59</v>
      </c>
      <c r="F11" t="s">
        <v>60</v>
      </c>
      <c r="H11" t="s">
        <v>29</v>
      </c>
      <c r="I11" t="s">
        <v>62</v>
      </c>
    </row>
    <row r="12" spans="1:9" x14ac:dyDescent="0.35">
      <c r="A12" t="s">
        <v>64</v>
      </c>
      <c r="B12" t="str">
        <f>"9780520932449"</f>
        <v>9780520932449</v>
      </c>
      <c r="C12" t="s">
        <v>67</v>
      </c>
      <c r="D12" t="s">
        <v>65</v>
      </c>
      <c r="E12" t="s">
        <v>42</v>
      </c>
      <c r="H12" t="s">
        <v>29</v>
      </c>
      <c r="I12" t="s">
        <v>66</v>
      </c>
    </row>
    <row r="13" spans="1:9" x14ac:dyDescent="0.35">
      <c r="A13" t="s">
        <v>68</v>
      </c>
      <c r="B13" t="str">
        <f>"9780253111432"</f>
        <v>9780253111432</v>
      </c>
      <c r="C13" t="s">
        <v>72</v>
      </c>
      <c r="D13" t="s">
        <v>70</v>
      </c>
      <c r="E13" t="s">
        <v>69</v>
      </c>
      <c r="H13" t="s">
        <v>29</v>
      </c>
      <c r="I13" t="s">
        <v>71</v>
      </c>
    </row>
    <row r="14" spans="1:9" x14ac:dyDescent="0.35">
      <c r="A14" t="s">
        <v>73</v>
      </c>
      <c r="B14" t="str">
        <f>"9780198041191"</f>
        <v>9780198041191</v>
      </c>
      <c r="C14" t="s">
        <v>79</v>
      </c>
      <c r="D14" t="s">
        <v>76</v>
      </c>
      <c r="E14" t="s">
        <v>74</v>
      </c>
      <c r="F14" t="s">
        <v>75</v>
      </c>
      <c r="H14" t="s">
        <v>77</v>
      </c>
      <c r="I14" t="s">
        <v>78</v>
      </c>
    </row>
    <row r="15" spans="1:9" x14ac:dyDescent="0.35">
      <c r="A15" t="s">
        <v>80</v>
      </c>
      <c r="B15" t="str">
        <f>"9780253111678"</f>
        <v>9780253111678</v>
      </c>
      <c r="C15" t="s">
        <v>84</v>
      </c>
      <c r="D15" t="s">
        <v>81</v>
      </c>
      <c r="E15" t="s">
        <v>69</v>
      </c>
      <c r="H15" t="s">
        <v>82</v>
      </c>
      <c r="I15" t="s">
        <v>83</v>
      </c>
    </row>
    <row r="16" spans="1:9" x14ac:dyDescent="0.35">
      <c r="A16" t="s">
        <v>85</v>
      </c>
      <c r="B16" t="str">
        <f>"9780195347654"</f>
        <v>9780195347654</v>
      </c>
      <c r="C16" t="s">
        <v>89</v>
      </c>
      <c r="D16" t="s">
        <v>86</v>
      </c>
      <c r="E16" t="s">
        <v>74</v>
      </c>
      <c r="H16" t="s">
        <v>87</v>
      </c>
      <c r="I16" t="s">
        <v>88</v>
      </c>
    </row>
    <row r="17" spans="1:9" x14ac:dyDescent="0.35">
      <c r="A17" t="s">
        <v>90</v>
      </c>
      <c r="B17" t="str">
        <f>"9780520939479"</f>
        <v>9780520939479</v>
      </c>
      <c r="C17" t="s">
        <v>93</v>
      </c>
      <c r="D17" t="s">
        <v>91</v>
      </c>
      <c r="E17" t="s">
        <v>42</v>
      </c>
      <c r="H17" t="s">
        <v>82</v>
      </c>
      <c r="I17" t="s">
        <v>92</v>
      </c>
    </row>
    <row r="18" spans="1:9" x14ac:dyDescent="0.35">
      <c r="A18" t="s">
        <v>94</v>
      </c>
      <c r="B18" t="str">
        <f>"9780511273384"</f>
        <v>9780511273384</v>
      </c>
      <c r="C18" t="s">
        <v>98</v>
      </c>
      <c r="D18" t="s">
        <v>96</v>
      </c>
      <c r="E18" t="s">
        <v>53</v>
      </c>
      <c r="F18" t="s">
        <v>95</v>
      </c>
      <c r="H18" t="s">
        <v>29</v>
      </c>
      <c r="I18" t="s">
        <v>97</v>
      </c>
    </row>
    <row r="19" spans="1:9" x14ac:dyDescent="0.35">
      <c r="A19" t="s">
        <v>99</v>
      </c>
      <c r="B19" t="str">
        <f>"9780520941007"</f>
        <v>9780520941007</v>
      </c>
      <c r="C19" t="s">
        <v>102</v>
      </c>
      <c r="D19" t="s">
        <v>100</v>
      </c>
      <c r="E19" t="s">
        <v>42</v>
      </c>
      <c r="H19" t="s">
        <v>82</v>
      </c>
      <c r="I19" t="s">
        <v>101</v>
      </c>
    </row>
    <row r="20" spans="1:9" x14ac:dyDescent="0.35">
      <c r="A20" t="s">
        <v>103</v>
      </c>
      <c r="B20" t="str">
        <f>"9780230605107"</f>
        <v>9780230605107</v>
      </c>
      <c r="C20" t="s">
        <v>108</v>
      </c>
      <c r="D20" t="s">
        <v>105</v>
      </c>
      <c r="E20" t="s">
        <v>104</v>
      </c>
      <c r="H20" t="s">
        <v>106</v>
      </c>
      <c r="I20" t="s">
        <v>107</v>
      </c>
    </row>
    <row r="21" spans="1:9" x14ac:dyDescent="0.35">
      <c r="A21" t="s">
        <v>109</v>
      </c>
      <c r="B21" t="str">
        <f>"9780230601659"</f>
        <v>9780230601659</v>
      </c>
      <c r="C21" t="s">
        <v>113</v>
      </c>
      <c r="D21" t="s">
        <v>110</v>
      </c>
      <c r="E21" t="s">
        <v>104</v>
      </c>
      <c r="H21" t="s">
        <v>111</v>
      </c>
      <c r="I21" t="s">
        <v>112</v>
      </c>
    </row>
    <row r="22" spans="1:9" x14ac:dyDescent="0.35">
      <c r="A22" t="s">
        <v>114</v>
      </c>
      <c r="B22" t="str">
        <f>"9780230603431"</f>
        <v>9780230603431</v>
      </c>
      <c r="C22" t="s">
        <v>117</v>
      </c>
      <c r="D22" t="s">
        <v>115</v>
      </c>
      <c r="E22" t="s">
        <v>104</v>
      </c>
      <c r="H22" t="s">
        <v>55</v>
      </c>
      <c r="I22" t="s">
        <v>116</v>
      </c>
    </row>
    <row r="23" spans="1:9" x14ac:dyDescent="0.35">
      <c r="A23" t="s">
        <v>118</v>
      </c>
      <c r="B23" t="str">
        <f>"9780816697939"</f>
        <v>9780816697939</v>
      </c>
      <c r="C23" t="s">
        <v>123</v>
      </c>
      <c r="D23" t="s">
        <v>121</v>
      </c>
      <c r="E23" t="s">
        <v>119</v>
      </c>
      <c r="F23" t="s">
        <v>120</v>
      </c>
      <c r="H23" t="s">
        <v>23</v>
      </c>
      <c r="I23" t="s">
        <v>122</v>
      </c>
    </row>
    <row r="24" spans="1:9" x14ac:dyDescent="0.35">
      <c r="A24" t="s">
        <v>124</v>
      </c>
      <c r="B24" t="str">
        <f>"9780816687084"</f>
        <v>9780816687084</v>
      </c>
      <c r="C24" t="s">
        <v>127</v>
      </c>
      <c r="D24" t="s">
        <v>125</v>
      </c>
      <c r="E24" t="s">
        <v>119</v>
      </c>
      <c r="H24" t="s">
        <v>29</v>
      </c>
      <c r="I24" t="s">
        <v>126</v>
      </c>
    </row>
    <row r="25" spans="1:9" x14ac:dyDescent="0.35">
      <c r="A25" t="s">
        <v>128</v>
      </c>
      <c r="B25" t="str">
        <f>"9780803276338"</f>
        <v>9780803276338</v>
      </c>
      <c r="C25" t="s">
        <v>132</v>
      </c>
      <c r="D25" t="s">
        <v>130</v>
      </c>
      <c r="E25" t="s">
        <v>129</v>
      </c>
      <c r="H25" t="s">
        <v>29</v>
      </c>
      <c r="I25" t="s">
        <v>131</v>
      </c>
    </row>
    <row r="26" spans="1:9" x14ac:dyDescent="0.35">
      <c r="A26" t="s">
        <v>133</v>
      </c>
      <c r="B26" t="str">
        <f>"9780803256453"</f>
        <v>9780803256453</v>
      </c>
      <c r="C26" t="s">
        <v>136</v>
      </c>
      <c r="D26" t="s">
        <v>134</v>
      </c>
      <c r="E26" t="s">
        <v>129</v>
      </c>
      <c r="H26" t="s">
        <v>23</v>
      </c>
      <c r="I26" t="s">
        <v>135</v>
      </c>
    </row>
    <row r="27" spans="1:9" x14ac:dyDescent="0.35">
      <c r="A27" t="s">
        <v>137</v>
      </c>
      <c r="B27" t="str">
        <f>"9780875863665"</f>
        <v>9780875863665</v>
      </c>
      <c r="C27" t="s">
        <v>142</v>
      </c>
      <c r="D27" t="s">
        <v>139</v>
      </c>
      <c r="E27" t="s">
        <v>138</v>
      </c>
      <c r="H27" t="s">
        <v>140</v>
      </c>
      <c r="I27" t="s">
        <v>141</v>
      </c>
    </row>
    <row r="28" spans="1:9" x14ac:dyDescent="0.35">
      <c r="A28" t="s">
        <v>143</v>
      </c>
      <c r="B28" t="str">
        <f>"9783110197846"</f>
        <v>9783110197846</v>
      </c>
      <c r="C28" t="s">
        <v>149</v>
      </c>
      <c r="D28" t="s">
        <v>146</v>
      </c>
      <c r="E28" t="s">
        <v>144</v>
      </c>
      <c r="F28" t="s">
        <v>145</v>
      </c>
      <c r="H28" t="s">
        <v>147</v>
      </c>
      <c r="I28" t="s">
        <v>148</v>
      </c>
    </row>
    <row r="29" spans="1:9" x14ac:dyDescent="0.35">
      <c r="A29" t="s">
        <v>150</v>
      </c>
      <c r="B29" t="str">
        <f>"9780816653805"</f>
        <v>9780816653805</v>
      </c>
      <c r="C29" t="s">
        <v>154</v>
      </c>
      <c r="D29" t="s">
        <v>151</v>
      </c>
      <c r="E29" t="s">
        <v>119</v>
      </c>
      <c r="H29" t="s">
        <v>152</v>
      </c>
      <c r="I29" t="s">
        <v>153</v>
      </c>
    </row>
    <row r="30" spans="1:9" x14ac:dyDescent="0.35">
      <c r="A30" t="s">
        <v>155</v>
      </c>
      <c r="B30" t="str">
        <f>"9780816654444"</f>
        <v>9780816654444</v>
      </c>
      <c r="C30" t="s">
        <v>158</v>
      </c>
      <c r="D30" t="s">
        <v>156</v>
      </c>
      <c r="E30" t="s">
        <v>119</v>
      </c>
      <c r="H30" t="s">
        <v>23</v>
      </c>
      <c r="I30" t="s">
        <v>157</v>
      </c>
    </row>
    <row r="31" spans="1:9" x14ac:dyDescent="0.35">
      <c r="A31" t="s">
        <v>159</v>
      </c>
      <c r="B31" t="str">
        <f>"9780313081156"</f>
        <v>9780313081156</v>
      </c>
      <c r="C31" t="s">
        <v>164</v>
      </c>
      <c r="D31" t="s">
        <v>162</v>
      </c>
      <c r="E31" t="s">
        <v>160</v>
      </c>
      <c r="F31" t="s">
        <v>161</v>
      </c>
      <c r="H31" t="s">
        <v>82</v>
      </c>
      <c r="I31" t="s">
        <v>163</v>
      </c>
    </row>
    <row r="32" spans="1:9" x14ac:dyDescent="0.35">
      <c r="A32" t="s">
        <v>165</v>
      </c>
      <c r="B32" t="str">
        <f>"9780253116895"</f>
        <v>9780253116895</v>
      </c>
      <c r="C32" t="s">
        <v>168</v>
      </c>
      <c r="D32" t="s">
        <v>166</v>
      </c>
      <c r="E32" t="s">
        <v>69</v>
      </c>
      <c r="H32" t="s">
        <v>87</v>
      </c>
      <c r="I32" t="s">
        <v>167</v>
      </c>
    </row>
    <row r="33" spans="1:9" x14ac:dyDescent="0.35">
      <c r="A33" t="s">
        <v>169</v>
      </c>
      <c r="B33" t="str">
        <f>"9780803216211"</f>
        <v>9780803216211</v>
      </c>
      <c r="C33" t="s">
        <v>172</v>
      </c>
      <c r="D33" t="s">
        <v>170</v>
      </c>
      <c r="E33" t="s">
        <v>129</v>
      </c>
      <c r="H33" t="s">
        <v>29</v>
      </c>
      <c r="I33" t="s">
        <v>171</v>
      </c>
    </row>
    <row r="34" spans="1:9" x14ac:dyDescent="0.35">
      <c r="A34" t="s">
        <v>173</v>
      </c>
      <c r="B34" t="str">
        <f>"9780803217805"</f>
        <v>9780803217805</v>
      </c>
      <c r="C34" t="s">
        <v>176</v>
      </c>
      <c r="D34" t="s">
        <v>174</v>
      </c>
      <c r="E34" t="s">
        <v>129</v>
      </c>
      <c r="H34" t="s">
        <v>29</v>
      </c>
      <c r="I34" t="s">
        <v>175</v>
      </c>
    </row>
    <row r="35" spans="1:9" x14ac:dyDescent="0.35">
      <c r="A35" t="s">
        <v>177</v>
      </c>
      <c r="B35" t="str">
        <f>"9780803216297"</f>
        <v>9780803216297</v>
      </c>
      <c r="C35" t="s">
        <v>180</v>
      </c>
      <c r="D35" t="s">
        <v>178</v>
      </c>
      <c r="E35" t="s">
        <v>129</v>
      </c>
      <c r="H35" t="s">
        <v>140</v>
      </c>
      <c r="I35" t="s">
        <v>179</v>
      </c>
    </row>
    <row r="36" spans="1:9" x14ac:dyDescent="0.35">
      <c r="A36" t="s">
        <v>181</v>
      </c>
      <c r="B36" t="str">
        <f>"9780803222038"</f>
        <v>9780803222038</v>
      </c>
      <c r="C36" t="s">
        <v>184</v>
      </c>
      <c r="D36" t="s">
        <v>182</v>
      </c>
      <c r="E36" t="s">
        <v>129</v>
      </c>
      <c r="H36" t="s">
        <v>44</v>
      </c>
      <c r="I36" t="s">
        <v>183</v>
      </c>
    </row>
    <row r="37" spans="1:9" x14ac:dyDescent="0.35">
      <c r="A37" t="s">
        <v>185</v>
      </c>
      <c r="B37" t="str">
        <f>"9780803237445"</f>
        <v>9780803237445</v>
      </c>
      <c r="C37" t="s">
        <v>189</v>
      </c>
      <c r="D37" t="s">
        <v>187</v>
      </c>
      <c r="E37" t="s">
        <v>129</v>
      </c>
      <c r="F37" t="s">
        <v>186</v>
      </c>
      <c r="H37" t="s">
        <v>29</v>
      </c>
      <c r="I37" t="s">
        <v>188</v>
      </c>
    </row>
    <row r="38" spans="1:9" x14ac:dyDescent="0.35">
      <c r="A38" t="s">
        <v>190</v>
      </c>
      <c r="B38" t="str">
        <f>"9780803243224"</f>
        <v>9780803243224</v>
      </c>
      <c r="C38" t="s">
        <v>194</v>
      </c>
      <c r="D38" t="s">
        <v>191</v>
      </c>
      <c r="E38" t="s">
        <v>129</v>
      </c>
      <c r="H38" t="s">
        <v>192</v>
      </c>
      <c r="I38" t="s">
        <v>193</v>
      </c>
    </row>
    <row r="39" spans="1:9" x14ac:dyDescent="0.35">
      <c r="A39" t="s">
        <v>195</v>
      </c>
      <c r="B39" t="str">
        <f>"9780803239715"</f>
        <v>9780803239715</v>
      </c>
      <c r="C39" t="s">
        <v>198</v>
      </c>
      <c r="D39" t="s">
        <v>196</v>
      </c>
      <c r="E39" t="s">
        <v>129</v>
      </c>
      <c r="H39" t="s">
        <v>140</v>
      </c>
      <c r="I39" t="s">
        <v>197</v>
      </c>
    </row>
    <row r="40" spans="1:9" x14ac:dyDescent="0.35">
      <c r="A40" t="s">
        <v>199</v>
      </c>
      <c r="B40" t="str">
        <f>"9780816656530"</f>
        <v>9780816656530</v>
      </c>
      <c r="C40" t="s">
        <v>203</v>
      </c>
      <c r="D40" t="s">
        <v>200</v>
      </c>
      <c r="E40" t="s">
        <v>119</v>
      </c>
      <c r="H40" t="s">
        <v>201</v>
      </c>
      <c r="I40" t="s">
        <v>202</v>
      </c>
    </row>
    <row r="41" spans="1:9" x14ac:dyDescent="0.35">
      <c r="A41" t="s">
        <v>204</v>
      </c>
      <c r="B41" t="str">
        <f>"9780816656585"</f>
        <v>9780816656585</v>
      </c>
      <c r="C41" t="s">
        <v>208</v>
      </c>
      <c r="D41" t="s">
        <v>206</v>
      </c>
      <c r="E41" t="s">
        <v>119</v>
      </c>
      <c r="F41" t="s">
        <v>205</v>
      </c>
      <c r="H41" t="s">
        <v>23</v>
      </c>
      <c r="I41" t="s">
        <v>207</v>
      </c>
    </row>
    <row r="42" spans="1:9" x14ac:dyDescent="0.35">
      <c r="A42" t="s">
        <v>209</v>
      </c>
      <c r="B42" t="str">
        <f>"9780816656615"</f>
        <v>9780816656615</v>
      </c>
      <c r="C42" t="s">
        <v>212</v>
      </c>
      <c r="D42" t="s">
        <v>210</v>
      </c>
      <c r="E42" t="s">
        <v>119</v>
      </c>
      <c r="H42" t="s">
        <v>29</v>
      </c>
      <c r="I42" t="s">
        <v>211</v>
      </c>
    </row>
    <row r="43" spans="1:9" x14ac:dyDescent="0.35">
      <c r="A43" t="s">
        <v>213</v>
      </c>
      <c r="B43" t="str">
        <f>"9780816653713"</f>
        <v>9780816653713</v>
      </c>
      <c r="C43" t="s">
        <v>218</v>
      </c>
      <c r="D43" t="s">
        <v>215</v>
      </c>
      <c r="E43" t="s">
        <v>119</v>
      </c>
      <c r="F43" t="s">
        <v>214</v>
      </c>
      <c r="H43" t="s">
        <v>216</v>
      </c>
      <c r="I43" t="s">
        <v>217</v>
      </c>
    </row>
    <row r="44" spans="1:9" x14ac:dyDescent="0.35">
      <c r="A44" t="s">
        <v>219</v>
      </c>
      <c r="B44" t="str">
        <f>"9783110207231"</f>
        <v>9783110207231</v>
      </c>
      <c r="C44" t="s">
        <v>223</v>
      </c>
      <c r="D44" t="s">
        <v>221</v>
      </c>
      <c r="E44" t="s">
        <v>144</v>
      </c>
      <c r="F44" t="s">
        <v>220</v>
      </c>
      <c r="H44" t="s">
        <v>147</v>
      </c>
      <c r="I44" t="s">
        <v>222</v>
      </c>
    </row>
    <row r="45" spans="1:9" x14ac:dyDescent="0.35">
      <c r="A45" t="s">
        <v>224</v>
      </c>
      <c r="B45" t="str">
        <f>"9780387769103"</f>
        <v>9780387769103</v>
      </c>
      <c r="C45" t="s">
        <v>228</v>
      </c>
      <c r="D45" t="s">
        <v>226</v>
      </c>
      <c r="E45" t="s">
        <v>225</v>
      </c>
      <c r="H45" t="s">
        <v>29</v>
      </c>
      <c r="I45" t="s">
        <v>227</v>
      </c>
    </row>
    <row r="46" spans="1:9" x14ac:dyDescent="0.35">
      <c r="A46" t="s">
        <v>229</v>
      </c>
      <c r="B46" t="str">
        <f>"9780226712963"</f>
        <v>9780226712963</v>
      </c>
      <c r="C46" t="s">
        <v>235</v>
      </c>
      <c r="D46" t="s">
        <v>232</v>
      </c>
      <c r="E46" t="s">
        <v>230</v>
      </c>
      <c r="F46" t="s">
        <v>231</v>
      </c>
      <c r="H46" t="s">
        <v>233</v>
      </c>
      <c r="I46" t="s">
        <v>234</v>
      </c>
    </row>
    <row r="47" spans="1:9" x14ac:dyDescent="0.35">
      <c r="A47" t="s">
        <v>236</v>
      </c>
      <c r="B47" t="str">
        <f>"9780195346886"</f>
        <v>9780195346886</v>
      </c>
      <c r="C47" t="s">
        <v>239</v>
      </c>
      <c r="D47" t="s">
        <v>237</v>
      </c>
      <c r="E47" t="s">
        <v>74</v>
      </c>
      <c r="H47" t="s">
        <v>29</v>
      </c>
      <c r="I47" t="s">
        <v>238</v>
      </c>
    </row>
    <row r="48" spans="1:9" x14ac:dyDescent="0.35">
      <c r="A48" t="s">
        <v>240</v>
      </c>
      <c r="B48" t="str">
        <f>"9780199722730"</f>
        <v>9780199722730</v>
      </c>
      <c r="C48" t="s">
        <v>244</v>
      </c>
      <c r="D48" t="s">
        <v>242</v>
      </c>
      <c r="E48" t="s">
        <v>241</v>
      </c>
      <c r="F48" t="s">
        <v>75</v>
      </c>
      <c r="H48" t="s">
        <v>29</v>
      </c>
      <c r="I48" t="s">
        <v>243</v>
      </c>
    </row>
    <row r="49" spans="1:9" x14ac:dyDescent="0.35">
      <c r="A49" t="s">
        <v>245</v>
      </c>
      <c r="B49" t="str">
        <f>"9780199716685"</f>
        <v>9780199716685</v>
      </c>
      <c r="C49" t="s">
        <v>248</v>
      </c>
      <c r="D49" t="s">
        <v>246</v>
      </c>
      <c r="E49" t="s">
        <v>74</v>
      </c>
      <c r="H49" t="s">
        <v>140</v>
      </c>
      <c r="I49" t="s">
        <v>247</v>
      </c>
    </row>
    <row r="50" spans="1:9" x14ac:dyDescent="0.35">
      <c r="A50" t="s">
        <v>249</v>
      </c>
      <c r="B50" t="str">
        <f>"9780226115115"</f>
        <v>9780226115115</v>
      </c>
      <c r="C50" t="s">
        <v>252</v>
      </c>
      <c r="D50" t="s">
        <v>250</v>
      </c>
      <c r="E50" t="s">
        <v>230</v>
      </c>
      <c r="H50" t="s">
        <v>29</v>
      </c>
      <c r="I50" t="s">
        <v>251</v>
      </c>
    </row>
    <row r="51" spans="1:9" x14ac:dyDescent="0.35">
      <c r="A51" t="s">
        <v>253</v>
      </c>
      <c r="B51" t="str">
        <f>"9780816666294"</f>
        <v>9780816666294</v>
      </c>
      <c r="C51" t="s">
        <v>256</v>
      </c>
      <c r="D51" t="s">
        <v>254</v>
      </c>
      <c r="E51" t="s">
        <v>119</v>
      </c>
      <c r="F51" t="s">
        <v>120</v>
      </c>
      <c r="H51" t="s">
        <v>82</v>
      </c>
      <c r="I51" t="s">
        <v>255</v>
      </c>
    </row>
    <row r="52" spans="1:9" x14ac:dyDescent="0.35">
      <c r="A52" t="s">
        <v>257</v>
      </c>
      <c r="B52" t="str">
        <f>"9780813539973"</f>
        <v>9780813539973</v>
      </c>
      <c r="C52" t="s">
        <v>261</v>
      </c>
      <c r="D52" t="s">
        <v>259</v>
      </c>
      <c r="E52" t="s">
        <v>258</v>
      </c>
      <c r="H52" t="s">
        <v>82</v>
      </c>
      <c r="I52" t="s">
        <v>260</v>
      </c>
    </row>
    <row r="53" spans="1:9" x14ac:dyDescent="0.35">
      <c r="A53" t="s">
        <v>262</v>
      </c>
      <c r="B53" t="str">
        <f>"9780813547138"</f>
        <v>9780813547138</v>
      </c>
      <c r="C53" t="s">
        <v>267</v>
      </c>
      <c r="D53" t="s">
        <v>264</v>
      </c>
      <c r="E53" t="s">
        <v>258</v>
      </c>
      <c r="F53" t="s">
        <v>263</v>
      </c>
      <c r="H53" t="s">
        <v>265</v>
      </c>
      <c r="I53" t="s">
        <v>266</v>
      </c>
    </row>
    <row r="54" spans="1:9" x14ac:dyDescent="0.35">
      <c r="A54" t="s">
        <v>268</v>
      </c>
      <c r="B54" t="str">
        <f>"9780817380854"</f>
        <v>9780817380854</v>
      </c>
      <c r="C54" t="s">
        <v>272</v>
      </c>
      <c r="D54" t="s">
        <v>270</v>
      </c>
      <c r="E54" t="s">
        <v>269</v>
      </c>
      <c r="H54" t="s">
        <v>29</v>
      </c>
      <c r="I54" t="s">
        <v>271</v>
      </c>
    </row>
    <row r="55" spans="1:9" x14ac:dyDescent="0.35">
      <c r="A55" t="s">
        <v>273</v>
      </c>
      <c r="B55" t="str">
        <f>"9780817381349"</f>
        <v>9780817381349</v>
      </c>
      <c r="C55" t="s">
        <v>277</v>
      </c>
      <c r="D55" t="s">
        <v>275</v>
      </c>
      <c r="E55" t="s">
        <v>269</v>
      </c>
      <c r="F55" t="s">
        <v>274</v>
      </c>
      <c r="H55" t="s">
        <v>29</v>
      </c>
      <c r="I55" t="s">
        <v>276</v>
      </c>
    </row>
    <row r="56" spans="1:9" x14ac:dyDescent="0.35">
      <c r="A56" t="s">
        <v>278</v>
      </c>
      <c r="B56" t="str">
        <f>"9780817381462"</f>
        <v>9780817381462</v>
      </c>
      <c r="C56" t="s">
        <v>281</v>
      </c>
      <c r="D56" t="s">
        <v>279</v>
      </c>
      <c r="E56" t="s">
        <v>269</v>
      </c>
      <c r="H56" t="s">
        <v>29</v>
      </c>
      <c r="I56" t="s">
        <v>280</v>
      </c>
    </row>
    <row r="57" spans="1:9" x14ac:dyDescent="0.35">
      <c r="A57" t="s">
        <v>282</v>
      </c>
      <c r="B57" t="str">
        <f>"9780817380786"</f>
        <v>9780817380786</v>
      </c>
      <c r="C57" t="s">
        <v>285</v>
      </c>
      <c r="D57" t="s">
        <v>283</v>
      </c>
      <c r="E57" t="s">
        <v>269</v>
      </c>
      <c r="H57" t="s">
        <v>29</v>
      </c>
      <c r="I57" t="s">
        <v>284</v>
      </c>
    </row>
    <row r="58" spans="1:9" x14ac:dyDescent="0.35">
      <c r="A58" t="s">
        <v>286</v>
      </c>
      <c r="B58" t="str">
        <f>"9780817382124"</f>
        <v>9780817382124</v>
      </c>
      <c r="C58" t="s">
        <v>290</v>
      </c>
      <c r="D58" t="s">
        <v>287</v>
      </c>
      <c r="E58" t="s">
        <v>269</v>
      </c>
      <c r="H58" t="s">
        <v>288</v>
      </c>
      <c r="I58" t="s">
        <v>289</v>
      </c>
    </row>
    <row r="59" spans="1:9" x14ac:dyDescent="0.35">
      <c r="A59" t="s">
        <v>291</v>
      </c>
      <c r="B59" t="str">
        <f>"9780817380458"</f>
        <v>9780817380458</v>
      </c>
      <c r="C59" t="s">
        <v>295</v>
      </c>
      <c r="D59" t="s">
        <v>292</v>
      </c>
      <c r="E59" t="s">
        <v>269</v>
      </c>
      <c r="F59" t="s">
        <v>274</v>
      </c>
      <c r="H59" t="s">
        <v>293</v>
      </c>
      <c r="I59" t="s">
        <v>294</v>
      </c>
    </row>
    <row r="60" spans="1:9" x14ac:dyDescent="0.35">
      <c r="A60" t="s">
        <v>296</v>
      </c>
      <c r="B60" t="str">
        <f>"9780817381684"</f>
        <v>9780817381684</v>
      </c>
      <c r="C60" t="s">
        <v>300</v>
      </c>
      <c r="D60" t="s">
        <v>297</v>
      </c>
      <c r="E60" t="s">
        <v>269</v>
      </c>
      <c r="F60" t="s">
        <v>274</v>
      </c>
      <c r="H60" t="s">
        <v>298</v>
      </c>
      <c r="I60" t="s">
        <v>299</v>
      </c>
    </row>
    <row r="61" spans="1:9" x14ac:dyDescent="0.35">
      <c r="A61" t="s">
        <v>301</v>
      </c>
      <c r="B61" t="str">
        <f>"9780817381271"</f>
        <v>9780817381271</v>
      </c>
      <c r="C61" t="s">
        <v>304</v>
      </c>
      <c r="D61" t="s">
        <v>302</v>
      </c>
      <c r="E61" t="s">
        <v>269</v>
      </c>
      <c r="H61" t="s">
        <v>29</v>
      </c>
      <c r="I61" t="s">
        <v>303</v>
      </c>
    </row>
    <row r="62" spans="1:9" x14ac:dyDescent="0.35">
      <c r="A62" t="s">
        <v>305</v>
      </c>
      <c r="B62" t="str">
        <f>"9780817381752"</f>
        <v>9780817381752</v>
      </c>
      <c r="C62" t="s">
        <v>309</v>
      </c>
      <c r="D62" t="s">
        <v>306</v>
      </c>
      <c r="E62" t="s">
        <v>269</v>
      </c>
      <c r="H62" t="s">
        <v>307</v>
      </c>
      <c r="I62" t="s">
        <v>308</v>
      </c>
    </row>
    <row r="63" spans="1:9" x14ac:dyDescent="0.35">
      <c r="A63" t="s">
        <v>310</v>
      </c>
      <c r="B63" t="str">
        <f>"9780817380861"</f>
        <v>9780817380861</v>
      </c>
      <c r="C63" t="s">
        <v>314</v>
      </c>
      <c r="D63" t="s">
        <v>311</v>
      </c>
      <c r="E63" t="s">
        <v>269</v>
      </c>
      <c r="H63" t="s">
        <v>312</v>
      </c>
      <c r="I63" t="s">
        <v>313</v>
      </c>
    </row>
    <row r="64" spans="1:9" x14ac:dyDescent="0.35">
      <c r="A64" t="s">
        <v>315</v>
      </c>
      <c r="B64" t="str">
        <f>"9780817381332"</f>
        <v>9780817381332</v>
      </c>
      <c r="C64" t="s">
        <v>318</v>
      </c>
      <c r="D64" t="s">
        <v>316</v>
      </c>
      <c r="E64" t="s">
        <v>269</v>
      </c>
      <c r="H64" t="s">
        <v>298</v>
      </c>
      <c r="I64" t="s">
        <v>317</v>
      </c>
    </row>
    <row r="65" spans="1:9" x14ac:dyDescent="0.35">
      <c r="A65" t="s">
        <v>319</v>
      </c>
      <c r="B65" t="str">
        <f>"9780817380915"</f>
        <v>9780817380915</v>
      </c>
      <c r="C65" t="s">
        <v>322</v>
      </c>
      <c r="D65" t="s">
        <v>320</v>
      </c>
      <c r="E65" t="s">
        <v>269</v>
      </c>
      <c r="H65" t="s">
        <v>29</v>
      </c>
      <c r="I65" t="s">
        <v>321</v>
      </c>
    </row>
    <row r="66" spans="1:9" x14ac:dyDescent="0.35">
      <c r="A66" t="s">
        <v>323</v>
      </c>
      <c r="B66" t="str">
        <f>"9780817381363"</f>
        <v>9780817381363</v>
      </c>
      <c r="C66" t="s">
        <v>326</v>
      </c>
      <c r="D66" t="s">
        <v>324</v>
      </c>
      <c r="E66" t="s">
        <v>269</v>
      </c>
      <c r="H66" t="s">
        <v>29</v>
      </c>
      <c r="I66" t="s">
        <v>325</v>
      </c>
    </row>
    <row r="67" spans="1:9" x14ac:dyDescent="0.35">
      <c r="A67" t="s">
        <v>327</v>
      </c>
      <c r="B67" t="str">
        <f>"9780817380939"</f>
        <v>9780817380939</v>
      </c>
      <c r="C67" t="s">
        <v>330</v>
      </c>
      <c r="D67" t="s">
        <v>328</v>
      </c>
      <c r="E67" t="s">
        <v>269</v>
      </c>
      <c r="H67" t="s">
        <v>265</v>
      </c>
      <c r="I67" t="s">
        <v>329</v>
      </c>
    </row>
    <row r="68" spans="1:9" x14ac:dyDescent="0.35">
      <c r="A68" t="s">
        <v>331</v>
      </c>
      <c r="B68" t="str">
        <f>"9780817381417"</f>
        <v>9780817381417</v>
      </c>
      <c r="C68" t="s">
        <v>334</v>
      </c>
      <c r="D68" t="s">
        <v>332</v>
      </c>
      <c r="E68" t="s">
        <v>269</v>
      </c>
      <c r="H68" t="s">
        <v>82</v>
      </c>
      <c r="I68" t="s">
        <v>333</v>
      </c>
    </row>
    <row r="69" spans="1:9" x14ac:dyDescent="0.35">
      <c r="A69" t="s">
        <v>335</v>
      </c>
      <c r="B69" t="str">
        <f>"9780817380496"</f>
        <v>9780817380496</v>
      </c>
      <c r="C69" t="s">
        <v>338</v>
      </c>
      <c r="D69" t="s">
        <v>336</v>
      </c>
      <c r="E69" t="s">
        <v>269</v>
      </c>
      <c r="H69" t="s">
        <v>29</v>
      </c>
      <c r="I69" t="s">
        <v>337</v>
      </c>
    </row>
    <row r="70" spans="1:9" x14ac:dyDescent="0.35">
      <c r="A70" t="s">
        <v>339</v>
      </c>
      <c r="B70" t="str">
        <f>"9780817382223"</f>
        <v>9780817382223</v>
      </c>
      <c r="C70" t="s">
        <v>342</v>
      </c>
      <c r="D70" t="s">
        <v>340</v>
      </c>
      <c r="E70" t="s">
        <v>269</v>
      </c>
      <c r="H70" t="s">
        <v>29</v>
      </c>
      <c r="I70" t="s">
        <v>341</v>
      </c>
    </row>
    <row r="71" spans="1:9" x14ac:dyDescent="0.35">
      <c r="A71" t="s">
        <v>343</v>
      </c>
      <c r="B71" t="str">
        <f>"9780817381042"</f>
        <v>9780817381042</v>
      </c>
      <c r="C71" t="s">
        <v>346</v>
      </c>
      <c r="D71" t="s">
        <v>344</v>
      </c>
      <c r="E71" t="s">
        <v>269</v>
      </c>
      <c r="F71" t="s">
        <v>274</v>
      </c>
      <c r="H71" t="s">
        <v>49</v>
      </c>
      <c r="I71" t="s">
        <v>345</v>
      </c>
    </row>
    <row r="72" spans="1:9" x14ac:dyDescent="0.35">
      <c r="A72" t="s">
        <v>347</v>
      </c>
      <c r="B72" t="str">
        <f>"9780817381509"</f>
        <v>9780817381509</v>
      </c>
      <c r="C72" t="s">
        <v>350</v>
      </c>
      <c r="D72" t="s">
        <v>348</v>
      </c>
      <c r="E72" t="s">
        <v>269</v>
      </c>
      <c r="H72" t="s">
        <v>29</v>
      </c>
      <c r="I72" t="s">
        <v>349</v>
      </c>
    </row>
    <row r="73" spans="1:9" x14ac:dyDescent="0.35">
      <c r="A73" t="s">
        <v>351</v>
      </c>
      <c r="B73" t="str">
        <f>"9780754689584"</f>
        <v>9780754689584</v>
      </c>
      <c r="C73" t="s">
        <v>355</v>
      </c>
      <c r="D73" t="s">
        <v>353</v>
      </c>
      <c r="E73" t="s">
        <v>9</v>
      </c>
      <c r="F73" t="s">
        <v>352</v>
      </c>
      <c r="H73" t="s">
        <v>111</v>
      </c>
      <c r="I73" t="s">
        <v>354</v>
      </c>
    </row>
    <row r="74" spans="1:9" x14ac:dyDescent="0.35">
      <c r="A74" t="s">
        <v>356</v>
      </c>
      <c r="B74" t="str">
        <f>"9780754696476"</f>
        <v>9780754696476</v>
      </c>
      <c r="C74" t="s">
        <v>360</v>
      </c>
      <c r="D74" t="s">
        <v>358</v>
      </c>
      <c r="E74" t="s">
        <v>9</v>
      </c>
      <c r="F74" t="s">
        <v>357</v>
      </c>
      <c r="H74" t="s">
        <v>49</v>
      </c>
      <c r="I74" t="s">
        <v>359</v>
      </c>
    </row>
    <row r="75" spans="1:9" x14ac:dyDescent="0.35">
      <c r="A75" t="s">
        <v>361</v>
      </c>
      <c r="B75" t="str">
        <f>"9780754676652"</f>
        <v>9780754676652</v>
      </c>
      <c r="C75" t="s">
        <v>365</v>
      </c>
      <c r="D75" t="s">
        <v>363</v>
      </c>
      <c r="E75" t="s">
        <v>9</v>
      </c>
      <c r="F75" t="s">
        <v>362</v>
      </c>
      <c r="H75" t="s">
        <v>111</v>
      </c>
      <c r="I75" t="s">
        <v>364</v>
      </c>
    </row>
    <row r="76" spans="1:9" x14ac:dyDescent="0.35">
      <c r="A76" t="s">
        <v>366</v>
      </c>
      <c r="B76" t="str">
        <f>"9780754693055"</f>
        <v>9780754693055</v>
      </c>
      <c r="C76" t="s">
        <v>369</v>
      </c>
      <c r="D76" t="s">
        <v>367</v>
      </c>
      <c r="E76" t="s">
        <v>9</v>
      </c>
      <c r="F76" t="s">
        <v>357</v>
      </c>
      <c r="H76" t="s">
        <v>29</v>
      </c>
      <c r="I76" t="s">
        <v>368</v>
      </c>
    </row>
    <row r="77" spans="1:9" x14ac:dyDescent="0.35">
      <c r="A77" t="s">
        <v>370</v>
      </c>
      <c r="B77" t="str">
        <f>"9780226032658"</f>
        <v>9780226032658</v>
      </c>
      <c r="C77" t="s">
        <v>373</v>
      </c>
      <c r="D77" t="s">
        <v>371</v>
      </c>
      <c r="E77" t="s">
        <v>230</v>
      </c>
      <c r="H77" t="s">
        <v>82</v>
      </c>
      <c r="I77" t="s">
        <v>372</v>
      </c>
    </row>
    <row r="78" spans="1:9" x14ac:dyDescent="0.35">
      <c r="A78" t="s">
        <v>374</v>
      </c>
      <c r="B78" t="str">
        <f>"9780803220478"</f>
        <v>9780803220478</v>
      </c>
      <c r="C78" t="s">
        <v>378</v>
      </c>
      <c r="D78" t="s">
        <v>376</v>
      </c>
      <c r="E78" t="s">
        <v>129</v>
      </c>
      <c r="F78" t="s">
        <v>375</v>
      </c>
      <c r="H78" t="s">
        <v>147</v>
      </c>
      <c r="I78" t="s">
        <v>377</v>
      </c>
    </row>
    <row r="79" spans="1:9" x14ac:dyDescent="0.35">
      <c r="A79" t="s">
        <v>379</v>
      </c>
      <c r="B79" t="str">
        <f>"9780803224452"</f>
        <v>9780803224452</v>
      </c>
      <c r="C79" t="s">
        <v>382</v>
      </c>
      <c r="D79" t="s">
        <v>380</v>
      </c>
      <c r="E79" t="s">
        <v>129</v>
      </c>
      <c r="H79" t="s">
        <v>140</v>
      </c>
      <c r="I79" t="s">
        <v>381</v>
      </c>
    </row>
    <row r="80" spans="1:9" x14ac:dyDescent="0.35">
      <c r="A80" t="s">
        <v>383</v>
      </c>
      <c r="B80" t="str">
        <f>"9780817381134"</f>
        <v>9780817381134</v>
      </c>
      <c r="C80" t="s">
        <v>386</v>
      </c>
      <c r="D80" t="s">
        <v>384</v>
      </c>
      <c r="E80" t="s">
        <v>269</v>
      </c>
      <c r="F80" t="s">
        <v>274</v>
      </c>
      <c r="H80" t="s">
        <v>82</v>
      </c>
      <c r="I80" t="s">
        <v>385</v>
      </c>
    </row>
    <row r="81" spans="1:9" x14ac:dyDescent="0.35">
      <c r="A81" t="s">
        <v>387</v>
      </c>
      <c r="B81" t="str">
        <f>"9780817381967"</f>
        <v>9780817381967</v>
      </c>
      <c r="C81" t="s">
        <v>391</v>
      </c>
      <c r="D81" t="s">
        <v>389</v>
      </c>
      <c r="E81" t="s">
        <v>269</v>
      </c>
      <c r="F81" t="s">
        <v>388</v>
      </c>
      <c r="H81" t="s">
        <v>29</v>
      </c>
      <c r="I81" t="s">
        <v>390</v>
      </c>
    </row>
    <row r="82" spans="1:9" x14ac:dyDescent="0.35">
      <c r="A82" t="s">
        <v>392</v>
      </c>
      <c r="B82" t="str">
        <f>"9780817380762"</f>
        <v>9780817380762</v>
      </c>
      <c r="C82" t="s">
        <v>395</v>
      </c>
      <c r="D82" t="s">
        <v>393</v>
      </c>
      <c r="E82" t="s">
        <v>269</v>
      </c>
      <c r="F82" t="s">
        <v>388</v>
      </c>
      <c r="H82" t="s">
        <v>29</v>
      </c>
      <c r="I82" t="s">
        <v>394</v>
      </c>
    </row>
    <row r="83" spans="1:9" x14ac:dyDescent="0.35">
      <c r="A83" t="s">
        <v>396</v>
      </c>
      <c r="B83" t="str">
        <f>"9780817381127"</f>
        <v>9780817381127</v>
      </c>
      <c r="C83" t="s">
        <v>399</v>
      </c>
      <c r="D83" t="s">
        <v>397</v>
      </c>
      <c r="E83" t="s">
        <v>269</v>
      </c>
      <c r="H83" t="s">
        <v>29</v>
      </c>
      <c r="I83" t="s">
        <v>398</v>
      </c>
    </row>
    <row r="84" spans="1:9" x14ac:dyDescent="0.35">
      <c r="A84" t="s">
        <v>400</v>
      </c>
      <c r="B84" t="str">
        <f>"9780817382551"</f>
        <v>9780817382551</v>
      </c>
      <c r="C84" t="s">
        <v>403</v>
      </c>
      <c r="D84" t="s">
        <v>401</v>
      </c>
      <c r="E84" t="s">
        <v>269</v>
      </c>
      <c r="F84" t="s">
        <v>388</v>
      </c>
      <c r="H84" t="s">
        <v>29</v>
      </c>
      <c r="I84" t="s">
        <v>402</v>
      </c>
    </row>
    <row r="85" spans="1:9" x14ac:dyDescent="0.35">
      <c r="A85" t="s">
        <v>404</v>
      </c>
      <c r="B85" t="str">
        <f>"9780817381158"</f>
        <v>9780817381158</v>
      </c>
      <c r="C85" t="s">
        <v>407</v>
      </c>
      <c r="D85" t="s">
        <v>405</v>
      </c>
      <c r="E85" t="s">
        <v>269</v>
      </c>
      <c r="F85" t="s">
        <v>274</v>
      </c>
      <c r="H85" t="s">
        <v>265</v>
      </c>
      <c r="I85" t="s">
        <v>406</v>
      </c>
    </row>
    <row r="86" spans="1:9" x14ac:dyDescent="0.35">
      <c r="A86" t="s">
        <v>408</v>
      </c>
      <c r="B86" t="str">
        <f>"9780817382629"</f>
        <v>9780817382629</v>
      </c>
      <c r="C86" t="s">
        <v>411</v>
      </c>
      <c r="D86" t="s">
        <v>409</v>
      </c>
      <c r="E86" t="s">
        <v>269</v>
      </c>
      <c r="H86" t="s">
        <v>29</v>
      </c>
      <c r="I86" t="s">
        <v>410</v>
      </c>
    </row>
    <row r="87" spans="1:9" x14ac:dyDescent="0.35">
      <c r="A87" t="s">
        <v>412</v>
      </c>
      <c r="B87" t="str">
        <f>"9780817382650"</f>
        <v>9780817382650</v>
      </c>
      <c r="C87" t="s">
        <v>415</v>
      </c>
      <c r="D87" t="s">
        <v>413</v>
      </c>
      <c r="E87" t="s">
        <v>269</v>
      </c>
      <c r="H87" t="s">
        <v>29</v>
      </c>
      <c r="I87" t="s">
        <v>414</v>
      </c>
    </row>
    <row r="88" spans="1:9" x14ac:dyDescent="0.35">
      <c r="A88" t="s">
        <v>416</v>
      </c>
      <c r="B88" t="str">
        <f>"9780817382797"</f>
        <v>9780817382797</v>
      </c>
      <c r="C88" t="s">
        <v>419</v>
      </c>
      <c r="D88" t="s">
        <v>417</v>
      </c>
      <c r="E88" t="s">
        <v>269</v>
      </c>
      <c r="H88" t="s">
        <v>29</v>
      </c>
      <c r="I88" t="s">
        <v>418</v>
      </c>
    </row>
    <row r="89" spans="1:9" x14ac:dyDescent="0.35">
      <c r="A89" t="s">
        <v>420</v>
      </c>
      <c r="B89" t="str">
        <f>"9780817382018"</f>
        <v>9780817382018</v>
      </c>
      <c r="C89" t="s">
        <v>424</v>
      </c>
      <c r="D89" t="s">
        <v>421</v>
      </c>
      <c r="E89" t="s">
        <v>269</v>
      </c>
      <c r="H89" t="s">
        <v>422</v>
      </c>
      <c r="I89" t="s">
        <v>423</v>
      </c>
    </row>
    <row r="90" spans="1:9" x14ac:dyDescent="0.35">
      <c r="A90" t="s">
        <v>425</v>
      </c>
      <c r="B90" t="str">
        <f>"9780817381066"</f>
        <v>9780817381066</v>
      </c>
      <c r="C90" t="s">
        <v>427</v>
      </c>
      <c r="D90" t="s">
        <v>328</v>
      </c>
      <c r="E90" t="s">
        <v>269</v>
      </c>
      <c r="H90" t="s">
        <v>265</v>
      </c>
      <c r="I90" t="s">
        <v>426</v>
      </c>
    </row>
    <row r="91" spans="1:9" x14ac:dyDescent="0.35">
      <c r="A91" t="s">
        <v>428</v>
      </c>
      <c r="B91" t="str">
        <f>"9780817380779"</f>
        <v>9780817380779</v>
      </c>
      <c r="C91" t="s">
        <v>432</v>
      </c>
      <c r="D91" t="s">
        <v>429</v>
      </c>
      <c r="E91" t="s">
        <v>269</v>
      </c>
      <c r="H91" t="s">
        <v>430</v>
      </c>
      <c r="I91" t="s">
        <v>431</v>
      </c>
    </row>
    <row r="92" spans="1:9" x14ac:dyDescent="0.35">
      <c r="A92" t="s">
        <v>433</v>
      </c>
      <c r="B92" t="str">
        <f>"9780817382056"</f>
        <v>9780817382056</v>
      </c>
      <c r="C92" t="s">
        <v>436</v>
      </c>
      <c r="D92" t="s">
        <v>434</v>
      </c>
      <c r="E92" t="s">
        <v>269</v>
      </c>
      <c r="H92" t="s">
        <v>29</v>
      </c>
      <c r="I92" t="s">
        <v>435</v>
      </c>
    </row>
    <row r="93" spans="1:9" x14ac:dyDescent="0.35">
      <c r="A93" t="s">
        <v>437</v>
      </c>
      <c r="B93" t="str">
        <f>"9780807889787"</f>
        <v>9780807889787</v>
      </c>
      <c r="C93" t="s">
        <v>441</v>
      </c>
      <c r="D93" t="s">
        <v>439</v>
      </c>
      <c r="E93" t="s">
        <v>438</v>
      </c>
      <c r="H93" t="s">
        <v>29</v>
      </c>
      <c r="I93" t="s">
        <v>440</v>
      </c>
    </row>
    <row r="94" spans="1:9" x14ac:dyDescent="0.35">
      <c r="A94" t="s">
        <v>442</v>
      </c>
      <c r="B94" t="str">
        <f>"9780807894217"</f>
        <v>9780807894217</v>
      </c>
      <c r="C94" t="s">
        <v>445</v>
      </c>
      <c r="D94" t="s">
        <v>443</v>
      </c>
      <c r="E94" t="s">
        <v>438</v>
      </c>
      <c r="H94" t="s">
        <v>49</v>
      </c>
      <c r="I94" t="s">
        <v>444</v>
      </c>
    </row>
    <row r="95" spans="1:9" x14ac:dyDescent="0.35">
      <c r="A95" t="s">
        <v>446</v>
      </c>
      <c r="B95" t="str">
        <f>"9780511603525"</f>
        <v>9780511603525</v>
      </c>
      <c r="C95" t="s">
        <v>449</v>
      </c>
      <c r="D95" t="s">
        <v>447</v>
      </c>
      <c r="E95" t="s">
        <v>53</v>
      </c>
      <c r="H95" t="s">
        <v>233</v>
      </c>
      <c r="I95" t="s">
        <v>448</v>
      </c>
    </row>
    <row r="96" spans="1:9" x14ac:dyDescent="0.35">
      <c r="A96" t="s">
        <v>450</v>
      </c>
      <c r="B96" t="str">
        <f>"9780203863015"</f>
        <v>9780203863015</v>
      </c>
      <c r="C96" t="s">
        <v>454</v>
      </c>
      <c r="D96" t="s">
        <v>452</v>
      </c>
      <c r="E96" t="s">
        <v>9</v>
      </c>
      <c r="F96" t="s">
        <v>451</v>
      </c>
      <c r="H96" t="s">
        <v>55</v>
      </c>
      <c r="I96" t="s">
        <v>453</v>
      </c>
    </row>
    <row r="97" spans="1:9" x14ac:dyDescent="0.35">
      <c r="A97" t="s">
        <v>455</v>
      </c>
      <c r="B97" t="str">
        <f>"9780759113145"</f>
        <v>9780759113145</v>
      </c>
      <c r="C97" t="s">
        <v>461</v>
      </c>
      <c r="D97" t="s">
        <v>458</v>
      </c>
      <c r="E97" t="s">
        <v>456</v>
      </c>
      <c r="F97" t="s">
        <v>457</v>
      </c>
      <c r="H97" t="s">
        <v>459</v>
      </c>
      <c r="I97" t="s">
        <v>460</v>
      </c>
    </row>
    <row r="98" spans="1:9" x14ac:dyDescent="0.35">
      <c r="A98" t="s">
        <v>462</v>
      </c>
      <c r="B98" t="str">
        <f>"9780761842729"</f>
        <v>9780761842729</v>
      </c>
      <c r="C98" t="s">
        <v>466</v>
      </c>
      <c r="D98" t="s">
        <v>464</v>
      </c>
      <c r="E98" t="s">
        <v>463</v>
      </c>
      <c r="H98" t="s">
        <v>29</v>
      </c>
      <c r="I98" t="s">
        <v>465</v>
      </c>
    </row>
    <row r="99" spans="1:9" x14ac:dyDescent="0.35">
      <c r="A99" t="s">
        <v>467</v>
      </c>
      <c r="B99" t="str">
        <f>"9780759112506"</f>
        <v>9780759112506</v>
      </c>
      <c r="C99" t="s">
        <v>471</v>
      </c>
      <c r="D99" t="s">
        <v>469</v>
      </c>
      <c r="E99" t="s">
        <v>456</v>
      </c>
      <c r="F99" t="s">
        <v>468</v>
      </c>
      <c r="H99" t="s">
        <v>29</v>
      </c>
      <c r="I99" t="s">
        <v>470</v>
      </c>
    </row>
    <row r="100" spans="1:9" x14ac:dyDescent="0.35">
      <c r="A100" t="s">
        <v>472</v>
      </c>
      <c r="B100" t="str">
        <f>"9780759113299"</f>
        <v>9780759113299</v>
      </c>
      <c r="C100" t="s">
        <v>476</v>
      </c>
      <c r="D100" t="s">
        <v>474</v>
      </c>
      <c r="E100" t="s">
        <v>456</v>
      </c>
      <c r="F100" t="s">
        <v>473</v>
      </c>
      <c r="H100" t="s">
        <v>29</v>
      </c>
      <c r="I100" t="s">
        <v>475</v>
      </c>
    </row>
    <row r="101" spans="1:9" x14ac:dyDescent="0.35">
      <c r="A101" t="s">
        <v>477</v>
      </c>
      <c r="B101" t="str">
        <f>"9780810867079"</f>
        <v>9780810867079</v>
      </c>
      <c r="C101" t="s">
        <v>481</v>
      </c>
      <c r="D101" t="s">
        <v>479</v>
      </c>
      <c r="E101" t="s">
        <v>478</v>
      </c>
      <c r="H101" t="s">
        <v>201</v>
      </c>
      <c r="I101" t="s">
        <v>480</v>
      </c>
    </row>
    <row r="102" spans="1:9" x14ac:dyDescent="0.35">
      <c r="A102" t="s">
        <v>482</v>
      </c>
      <c r="B102" t="str">
        <f>"9789047424642"</f>
        <v>9789047424642</v>
      </c>
      <c r="C102" t="s">
        <v>487</v>
      </c>
      <c r="D102" t="s">
        <v>485</v>
      </c>
      <c r="E102" t="s">
        <v>483</v>
      </c>
      <c r="F102" t="s">
        <v>484</v>
      </c>
      <c r="H102" t="s">
        <v>111</v>
      </c>
      <c r="I102" t="s">
        <v>486</v>
      </c>
    </row>
    <row r="103" spans="1:9" x14ac:dyDescent="0.35">
      <c r="A103" t="s">
        <v>488</v>
      </c>
      <c r="B103" t="str">
        <f>"9789047433453"</f>
        <v>9789047433453</v>
      </c>
      <c r="C103" t="s">
        <v>491</v>
      </c>
      <c r="D103" t="s">
        <v>489</v>
      </c>
      <c r="E103" t="s">
        <v>483</v>
      </c>
      <c r="H103" t="s">
        <v>233</v>
      </c>
      <c r="I103" t="s">
        <v>490</v>
      </c>
    </row>
    <row r="104" spans="1:9" x14ac:dyDescent="0.35">
      <c r="A104" t="s">
        <v>492</v>
      </c>
      <c r="B104" t="str">
        <f>"9780520927964"</f>
        <v>9780520927964</v>
      </c>
      <c r="C104" t="s">
        <v>495</v>
      </c>
      <c r="D104" t="s">
        <v>493</v>
      </c>
      <c r="E104" t="s">
        <v>42</v>
      </c>
      <c r="H104" t="s">
        <v>111</v>
      </c>
      <c r="I104" t="s">
        <v>494</v>
      </c>
    </row>
    <row r="105" spans="1:9" x14ac:dyDescent="0.35">
      <c r="A105" t="s">
        <v>496</v>
      </c>
      <c r="B105" t="str">
        <f>"9780520943155"</f>
        <v>9780520943155</v>
      </c>
      <c r="C105" t="s">
        <v>498</v>
      </c>
      <c r="D105" t="s">
        <v>65</v>
      </c>
      <c r="E105" t="s">
        <v>42</v>
      </c>
      <c r="H105" t="s">
        <v>29</v>
      </c>
      <c r="I105" t="s">
        <v>497</v>
      </c>
    </row>
    <row r="106" spans="1:9" x14ac:dyDescent="0.35">
      <c r="A106" t="s">
        <v>499</v>
      </c>
      <c r="B106" t="str">
        <f>"9780803226456"</f>
        <v>9780803226456</v>
      </c>
      <c r="C106" t="s">
        <v>502</v>
      </c>
      <c r="D106" t="s">
        <v>500</v>
      </c>
      <c r="E106" t="s">
        <v>129</v>
      </c>
      <c r="H106" t="s">
        <v>82</v>
      </c>
      <c r="I106" t="s">
        <v>501</v>
      </c>
    </row>
    <row r="107" spans="1:9" x14ac:dyDescent="0.35">
      <c r="A107" t="s">
        <v>503</v>
      </c>
      <c r="B107" t="str">
        <f>"9780803226906"</f>
        <v>9780803226906</v>
      </c>
      <c r="C107" t="s">
        <v>506</v>
      </c>
      <c r="D107" t="s">
        <v>504</v>
      </c>
      <c r="E107" t="s">
        <v>129</v>
      </c>
      <c r="H107" t="s">
        <v>44</v>
      </c>
      <c r="I107" t="s">
        <v>505</v>
      </c>
    </row>
    <row r="108" spans="1:9" x14ac:dyDescent="0.35">
      <c r="A108" t="s">
        <v>507</v>
      </c>
      <c r="B108" t="str">
        <f>"9780803226166"</f>
        <v>9780803226166</v>
      </c>
      <c r="C108" t="s">
        <v>510</v>
      </c>
      <c r="D108" t="s">
        <v>508</v>
      </c>
      <c r="E108" t="s">
        <v>129</v>
      </c>
      <c r="H108" t="s">
        <v>23</v>
      </c>
      <c r="I108" t="s">
        <v>509</v>
      </c>
    </row>
    <row r="109" spans="1:9" x14ac:dyDescent="0.35">
      <c r="A109" t="s">
        <v>511</v>
      </c>
      <c r="B109" t="str">
        <f>"9780803226876"</f>
        <v>9780803226876</v>
      </c>
      <c r="C109" t="s">
        <v>514</v>
      </c>
      <c r="D109" t="s">
        <v>512</v>
      </c>
      <c r="E109" t="s">
        <v>129</v>
      </c>
      <c r="H109" t="s">
        <v>29</v>
      </c>
      <c r="I109" t="s">
        <v>513</v>
      </c>
    </row>
    <row r="110" spans="1:9" x14ac:dyDescent="0.35">
      <c r="A110" t="s">
        <v>515</v>
      </c>
      <c r="B110" t="str">
        <f>"9780803226838"</f>
        <v>9780803226838</v>
      </c>
      <c r="C110" t="s">
        <v>518</v>
      </c>
      <c r="D110" t="s">
        <v>516</v>
      </c>
      <c r="E110" t="s">
        <v>129</v>
      </c>
      <c r="H110" t="s">
        <v>265</v>
      </c>
      <c r="I110" t="s">
        <v>517</v>
      </c>
    </row>
    <row r="111" spans="1:9" x14ac:dyDescent="0.35">
      <c r="A111" t="s">
        <v>519</v>
      </c>
      <c r="B111" t="str">
        <f>"9780803225497"</f>
        <v>9780803225497</v>
      </c>
      <c r="C111" t="s">
        <v>523</v>
      </c>
      <c r="D111" t="s">
        <v>521</v>
      </c>
      <c r="E111" t="s">
        <v>129</v>
      </c>
      <c r="F111" t="s">
        <v>520</v>
      </c>
      <c r="H111" t="s">
        <v>29</v>
      </c>
      <c r="I111" t="s">
        <v>522</v>
      </c>
    </row>
    <row r="112" spans="1:9" x14ac:dyDescent="0.35">
      <c r="A112" t="s">
        <v>524</v>
      </c>
      <c r="B112" t="str">
        <f>"9780803226210"</f>
        <v>9780803226210</v>
      </c>
      <c r="C112" t="s">
        <v>527</v>
      </c>
      <c r="D112" t="s">
        <v>525</v>
      </c>
      <c r="E112" t="s">
        <v>129</v>
      </c>
      <c r="H112" t="s">
        <v>23</v>
      </c>
      <c r="I112" t="s">
        <v>526</v>
      </c>
    </row>
    <row r="113" spans="1:9" x14ac:dyDescent="0.35">
      <c r="A113" t="s">
        <v>528</v>
      </c>
      <c r="B113" t="str">
        <f>"9780199734450"</f>
        <v>9780199734450</v>
      </c>
      <c r="C113" t="s">
        <v>531</v>
      </c>
      <c r="D113" t="s">
        <v>529</v>
      </c>
      <c r="E113" t="s">
        <v>74</v>
      </c>
      <c r="H113" t="s">
        <v>44</v>
      </c>
      <c r="I113" t="s">
        <v>530</v>
      </c>
    </row>
    <row r="114" spans="1:9" x14ac:dyDescent="0.35">
      <c r="A114" t="s">
        <v>532</v>
      </c>
      <c r="B114" t="str">
        <f>"9780199706594"</f>
        <v>9780199706594</v>
      </c>
      <c r="C114" t="s">
        <v>535</v>
      </c>
      <c r="D114" t="s">
        <v>533</v>
      </c>
      <c r="E114" t="s">
        <v>74</v>
      </c>
      <c r="H114" t="s">
        <v>233</v>
      </c>
      <c r="I114" t="s">
        <v>534</v>
      </c>
    </row>
    <row r="115" spans="1:9" x14ac:dyDescent="0.35">
      <c r="A115" t="s">
        <v>536</v>
      </c>
      <c r="B115" t="str">
        <f>"9780199742509"</f>
        <v>9780199742509</v>
      </c>
      <c r="C115" t="s">
        <v>540</v>
      </c>
      <c r="D115" t="s">
        <v>538</v>
      </c>
      <c r="E115" t="s">
        <v>74</v>
      </c>
      <c r="F115" t="s">
        <v>537</v>
      </c>
      <c r="H115" t="s">
        <v>29</v>
      </c>
      <c r="I115" t="s">
        <v>539</v>
      </c>
    </row>
    <row r="116" spans="1:9" x14ac:dyDescent="0.35">
      <c r="A116" t="s">
        <v>541</v>
      </c>
      <c r="B116" t="str">
        <f>"9781604862591"</f>
        <v>9781604862591</v>
      </c>
      <c r="C116" t="s">
        <v>545</v>
      </c>
      <c r="D116" t="s">
        <v>543</v>
      </c>
      <c r="E116" t="s">
        <v>542</v>
      </c>
      <c r="H116" t="s">
        <v>44</v>
      </c>
      <c r="I116" t="s">
        <v>544</v>
      </c>
    </row>
    <row r="117" spans="1:9" x14ac:dyDescent="0.35">
      <c r="A117" t="s">
        <v>546</v>
      </c>
      <c r="B117" t="str">
        <f>"9780817383213"</f>
        <v>9780817383213</v>
      </c>
      <c r="C117" t="s">
        <v>549</v>
      </c>
      <c r="D117" t="s">
        <v>547</v>
      </c>
      <c r="E117" t="s">
        <v>269</v>
      </c>
      <c r="H117" t="s">
        <v>29</v>
      </c>
      <c r="I117" t="s">
        <v>548</v>
      </c>
    </row>
    <row r="118" spans="1:9" x14ac:dyDescent="0.35">
      <c r="A118" t="s">
        <v>550</v>
      </c>
      <c r="B118" t="str">
        <f>"9780817381585"</f>
        <v>9780817381585</v>
      </c>
      <c r="C118" t="s">
        <v>554</v>
      </c>
      <c r="D118" t="s">
        <v>551</v>
      </c>
      <c r="E118" t="s">
        <v>269</v>
      </c>
      <c r="F118" t="s">
        <v>274</v>
      </c>
      <c r="H118" t="s">
        <v>552</v>
      </c>
      <c r="I118" t="s">
        <v>553</v>
      </c>
    </row>
    <row r="119" spans="1:9" x14ac:dyDescent="0.35">
      <c r="A119" t="s">
        <v>555</v>
      </c>
      <c r="B119" t="str">
        <f>"9780817380724"</f>
        <v>9780817380724</v>
      </c>
      <c r="C119" t="s">
        <v>559</v>
      </c>
      <c r="D119" t="s">
        <v>557</v>
      </c>
      <c r="E119" t="s">
        <v>269</v>
      </c>
      <c r="F119" t="s">
        <v>556</v>
      </c>
      <c r="H119" t="s">
        <v>459</v>
      </c>
      <c r="I119" t="s">
        <v>558</v>
      </c>
    </row>
    <row r="120" spans="1:9" x14ac:dyDescent="0.35">
      <c r="A120" t="s">
        <v>560</v>
      </c>
      <c r="B120" t="str">
        <f>"9780817383459"</f>
        <v>9780817383459</v>
      </c>
      <c r="C120" t="s">
        <v>563</v>
      </c>
      <c r="D120" t="s">
        <v>561</v>
      </c>
      <c r="E120" t="s">
        <v>269</v>
      </c>
      <c r="H120" t="s">
        <v>82</v>
      </c>
      <c r="I120" t="s">
        <v>562</v>
      </c>
    </row>
    <row r="121" spans="1:9" x14ac:dyDescent="0.35">
      <c r="A121" t="s">
        <v>564</v>
      </c>
      <c r="B121" t="str">
        <f>"9780817381264"</f>
        <v>9780817381264</v>
      </c>
      <c r="C121" t="s">
        <v>567</v>
      </c>
      <c r="D121" t="s">
        <v>565</v>
      </c>
      <c r="E121" t="s">
        <v>269</v>
      </c>
      <c r="H121" t="s">
        <v>29</v>
      </c>
      <c r="I121" t="s">
        <v>566</v>
      </c>
    </row>
    <row r="122" spans="1:9" x14ac:dyDescent="0.35">
      <c r="A122" t="s">
        <v>568</v>
      </c>
      <c r="B122" t="str">
        <f>"9781841503516"</f>
        <v>9781841503516</v>
      </c>
      <c r="C122" t="s">
        <v>573</v>
      </c>
      <c r="D122" t="s">
        <v>570</v>
      </c>
      <c r="E122" t="s">
        <v>569</v>
      </c>
      <c r="H122" t="s">
        <v>571</v>
      </c>
      <c r="I122" t="s">
        <v>572</v>
      </c>
    </row>
    <row r="123" spans="1:9" x14ac:dyDescent="0.35">
      <c r="A123" t="s">
        <v>574</v>
      </c>
      <c r="B123" t="str">
        <f>"9781555917760"</f>
        <v>9781555917760</v>
      </c>
      <c r="C123" t="s">
        <v>578</v>
      </c>
      <c r="D123" t="s">
        <v>576</v>
      </c>
      <c r="E123" t="s">
        <v>575</v>
      </c>
      <c r="H123" t="s">
        <v>82</v>
      </c>
      <c r="I123" t="s">
        <v>577</v>
      </c>
    </row>
    <row r="124" spans="1:9" x14ac:dyDescent="0.35">
      <c r="A124" t="s">
        <v>579</v>
      </c>
      <c r="B124" t="str">
        <f>"9781555918484"</f>
        <v>9781555918484</v>
      </c>
      <c r="C124" t="s">
        <v>582</v>
      </c>
      <c r="D124" t="s">
        <v>580</v>
      </c>
      <c r="E124" t="s">
        <v>575</v>
      </c>
      <c r="H124" t="s">
        <v>29</v>
      </c>
      <c r="I124" t="s">
        <v>581</v>
      </c>
    </row>
    <row r="125" spans="1:9" x14ac:dyDescent="0.35">
      <c r="A125" t="s">
        <v>583</v>
      </c>
      <c r="B125" t="str">
        <f>"9781861897497"</f>
        <v>9781861897497</v>
      </c>
      <c r="C125" t="s">
        <v>587</v>
      </c>
      <c r="D125" t="s">
        <v>585</v>
      </c>
      <c r="E125" t="s">
        <v>584</v>
      </c>
      <c r="H125" t="s">
        <v>459</v>
      </c>
      <c r="I125" t="s">
        <v>586</v>
      </c>
    </row>
    <row r="126" spans="1:9" x14ac:dyDescent="0.35">
      <c r="A126" t="s">
        <v>588</v>
      </c>
      <c r="B126" t="str">
        <f>"9780761845331"</f>
        <v>9780761845331</v>
      </c>
      <c r="C126" t="s">
        <v>591</v>
      </c>
      <c r="D126" t="s">
        <v>589</v>
      </c>
      <c r="E126" t="s">
        <v>463</v>
      </c>
      <c r="H126" t="s">
        <v>82</v>
      </c>
      <c r="I126" t="s">
        <v>590</v>
      </c>
    </row>
    <row r="127" spans="1:9" x14ac:dyDescent="0.35">
      <c r="A127" t="s">
        <v>592</v>
      </c>
      <c r="B127" t="str">
        <f>"9780816670345"</f>
        <v>9780816670345</v>
      </c>
      <c r="C127" t="s">
        <v>595</v>
      </c>
      <c r="D127" t="s">
        <v>593</v>
      </c>
      <c r="E127" t="s">
        <v>119</v>
      </c>
      <c r="F127" t="s">
        <v>120</v>
      </c>
      <c r="H127" t="s">
        <v>233</v>
      </c>
      <c r="I127" t="s">
        <v>594</v>
      </c>
    </row>
    <row r="128" spans="1:9" x14ac:dyDescent="0.35">
      <c r="A128" t="s">
        <v>596</v>
      </c>
      <c r="B128" t="str">
        <f>"9780804772914"</f>
        <v>9780804772914</v>
      </c>
      <c r="C128" t="s">
        <v>600</v>
      </c>
      <c r="D128" t="s">
        <v>598</v>
      </c>
      <c r="E128" t="s">
        <v>597</v>
      </c>
      <c r="H128" t="s">
        <v>140</v>
      </c>
      <c r="I128" t="s">
        <v>599</v>
      </c>
    </row>
    <row r="129" spans="1:9" x14ac:dyDescent="0.35">
      <c r="A129" t="s">
        <v>601</v>
      </c>
      <c r="B129" t="str">
        <f>"9781848132092"</f>
        <v>9781848132092</v>
      </c>
      <c r="C129" t="s">
        <v>606</v>
      </c>
      <c r="D129" t="s">
        <v>604</v>
      </c>
      <c r="E129" t="s">
        <v>602</v>
      </c>
      <c r="F129" t="s">
        <v>603</v>
      </c>
      <c r="H129" t="s">
        <v>44</v>
      </c>
      <c r="I129" t="s">
        <v>605</v>
      </c>
    </row>
    <row r="130" spans="1:9" x14ac:dyDescent="0.35">
      <c r="A130" t="s">
        <v>607</v>
      </c>
      <c r="B130" t="str">
        <f>"9780313072635"</f>
        <v>9780313072635</v>
      </c>
      <c r="C130" t="s">
        <v>613</v>
      </c>
      <c r="D130" t="s">
        <v>610</v>
      </c>
      <c r="E130" t="s">
        <v>608</v>
      </c>
      <c r="F130" t="s">
        <v>609</v>
      </c>
      <c r="H130" t="s">
        <v>611</v>
      </c>
      <c r="I130" t="s">
        <v>612</v>
      </c>
    </row>
    <row r="131" spans="1:9" x14ac:dyDescent="0.35">
      <c r="A131" t="s">
        <v>614</v>
      </c>
      <c r="B131" t="str">
        <f>"9780313354410"</f>
        <v>9780313354410</v>
      </c>
      <c r="C131" t="s">
        <v>618</v>
      </c>
      <c r="D131" t="s">
        <v>616</v>
      </c>
      <c r="E131" t="s">
        <v>160</v>
      </c>
      <c r="F131" t="s">
        <v>615</v>
      </c>
      <c r="H131" t="s">
        <v>29</v>
      </c>
      <c r="I131" t="s">
        <v>617</v>
      </c>
    </row>
    <row r="132" spans="1:9" x14ac:dyDescent="0.35">
      <c r="A132" t="s">
        <v>619</v>
      </c>
      <c r="B132" t="str">
        <f>"9780313081552"</f>
        <v>9780313081552</v>
      </c>
      <c r="C132" t="s">
        <v>623</v>
      </c>
      <c r="D132" t="s">
        <v>621</v>
      </c>
      <c r="E132" t="s">
        <v>608</v>
      </c>
      <c r="F132" t="s">
        <v>620</v>
      </c>
      <c r="H132" t="s">
        <v>29</v>
      </c>
      <c r="I132" t="s">
        <v>622</v>
      </c>
    </row>
    <row r="133" spans="1:9" x14ac:dyDescent="0.35">
      <c r="A133" t="s">
        <v>624</v>
      </c>
      <c r="B133" t="str">
        <f>"9780803228412"</f>
        <v>9780803228412</v>
      </c>
      <c r="C133" t="s">
        <v>628</v>
      </c>
      <c r="D133" t="s">
        <v>626</v>
      </c>
      <c r="E133" t="s">
        <v>129</v>
      </c>
      <c r="F133" t="s">
        <v>625</v>
      </c>
      <c r="H133" t="s">
        <v>201</v>
      </c>
      <c r="I133" t="s">
        <v>627</v>
      </c>
    </row>
    <row r="134" spans="1:9" x14ac:dyDescent="0.35">
      <c r="A134" t="s">
        <v>629</v>
      </c>
      <c r="B134" t="str">
        <f>"9780816670499"</f>
        <v>9780816670499</v>
      </c>
      <c r="C134" t="s">
        <v>632</v>
      </c>
      <c r="D134" t="s">
        <v>630</v>
      </c>
      <c r="E134" t="s">
        <v>119</v>
      </c>
      <c r="H134" t="s">
        <v>111</v>
      </c>
      <c r="I134" t="s">
        <v>631</v>
      </c>
    </row>
    <row r="135" spans="1:9" x14ac:dyDescent="0.35">
      <c r="A135" t="s">
        <v>633</v>
      </c>
      <c r="B135" t="str">
        <f>"9783110220957"</f>
        <v>9783110220957</v>
      </c>
      <c r="C135" t="s">
        <v>638</v>
      </c>
      <c r="D135" t="s">
        <v>635</v>
      </c>
      <c r="E135" t="s">
        <v>144</v>
      </c>
      <c r="F135" t="s">
        <v>634</v>
      </c>
      <c r="H135" t="s">
        <v>636</v>
      </c>
      <c r="I135" t="s">
        <v>637</v>
      </c>
    </row>
    <row r="136" spans="1:9" x14ac:dyDescent="0.35">
      <c r="A136" t="s">
        <v>639</v>
      </c>
      <c r="B136" t="str">
        <f>"9781604734836"</f>
        <v>9781604734836</v>
      </c>
      <c r="C136" t="s">
        <v>643</v>
      </c>
      <c r="D136" t="s">
        <v>641</v>
      </c>
      <c r="E136" t="s">
        <v>640</v>
      </c>
      <c r="H136" t="s">
        <v>29</v>
      </c>
      <c r="I136" t="s">
        <v>642</v>
      </c>
    </row>
    <row r="137" spans="1:9" x14ac:dyDescent="0.35">
      <c r="A137" t="s">
        <v>644</v>
      </c>
      <c r="B137" t="str">
        <f>"9781604733099"</f>
        <v>9781604733099</v>
      </c>
      <c r="C137" t="s">
        <v>647</v>
      </c>
      <c r="D137" t="s">
        <v>645</v>
      </c>
      <c r="E137" t="s">
        <v>640</v>
      </c>
      <c r="H137" t="s">
        <v>29</v>
      </c>
      <c r="I137" t="s">
        <v>646</v>
      </c>
    </row>
    <row r="138" spans="1:9" x14ac:dyDescent="0.35">
      <c r="A138" t="s">
        <v>648</v>
      </c>
      <c r="B138" t="str">
        <f>"9781604733150"</f>
        <v>9781604733150</v>
      </c>
      <c r="C138" t="s">
        <v>651</v>
      </c>
      <c r="D138" t="s">
        <v>649</v>
      </c>
      <c r="E138" t="s">
        <v>640</v>
      </c>
      <c r="H138" t="s">
        <v>265</v>
      </c>
      <c r="I138" t="s">
        <v>650</v>
      </c>
    </row>
    <row r="139" spans="1:9" x14ac:dyDescent="0.35">
      <c r="A139" t="s">
        <v>652</v>
      </c>
      <c r="B139" t="str">
        <f>"9780807895764"</f>
        <v>9780807895764</v>
      </c>
      <c r="C139" t="s">
        <v>655</v>
      </c>
      <c r="D139" t="s">
        <v>653</v>
      </c>
      <c r="E139" t="s">
        <v>438</v>
      </c>
      <c r="H139" t="s">
        <v>82</v>
      </c>
      <c r="I139" t="s">
        <v>654</v>
      </c>
    </row>
    <row r="140" spans="1:9" x14ac:dyDescent="0.35">
      <c r="A140" t="s">
        <v>656</v>
      </c>
      <c r="B140" t="str">
        <f>"9781849774758"</f>
        <v>9781849774758</v>
      </c>
      <c r="C140" t="s">
        <v>660</v>
      </c>
      <c r="D140" t="s">
        <v>657</v>
      </c>
      <c r="E140" t="s">
        <v>9</v>
      </c>
      <c r="H140" t="s">
        <v>658</v>
      </c>
      <c r="I140" t="s">
        <v>659</v>
      </c>
    </row>
    <row r="141" spans="1:9" x14ac:dyDescent="0.35">
      <c r="A141" t="s">
        <v>661</v>
      </c>
      <c r="B141" t="str">
        <f>"9780203849903"</f>
        <v>9780203849903</v>
      </c>
      <c r="C141" t="s">
        <v>665</v>
      </c>
      <c r="D141" t="s">
        <v>663</v>
      </c>
      <c r="E141" t="s">
        <v>9</v>
      </c>
      <c r="F141" t="s">
        <v>662</v>
      </c>
      <c r="H141" t="s">
        <v>38</v>
      </c>
      <c r="I141" t="s">
        <v>664</v>
      </c>
    </row>
    <row r="142" spans="1:9" x14ac:dyDescent="0.35">
      <c r="A142" t="s">
        <v>666</v>
      </c>
      <c r="B142" t="str">
        <f>"9781555917883"</f>
        <v>9781555917883</v>
      </c>
      <c r="C142" t="s">
        <v>669</v>
      </c>
      <c r="D142" t="s">
        <v>667</v>
      </c>
      <c r="E142" t="s">
        <v>575</v>
      </c>
      <c r="H142" t="s">
        <v>233</v>
      </c>
      <c r="I142" t="s">
        <v>668</v>
      </c>
    </row>
    <row r="143" spans="1:9" x14ac:dyDescent="0.35">
      <c r="A143" t="s">
        <v>670</v>
      </c>
      <c r="B143" t="str">
        <f>"9780817384128"</f>
        <v>9780817384128</v>
      </c>
      <c r="C143" t="s">
        <v>674</v>
      </c>
      <c r="D143" t="s">
        <v>672</v>
      </c>
      <c r="E143" t="s">
        <v>269</v>
      </c>
      <c r="F143" t="s">
        <v>671</v>
      </c>
      <c r="H143" t="s">
        <v>29</v>
      </c>
      <c r="I143" t="s">
        <v>673</v>
      </c>
    </row>
    <row r="144" spans="1:9" x14ac:dyDescent="0.35">
      <c r="A144" t="s">
        <v>675</v>
      </c>
      <c r="B144" t="str">
        <f>"9780817382476"</f>
        <v>9780817382476</v>
      </c>
      <c r="C144" t="s">
        <v>678</v>
      </c>
      <c r="D144" t="s">
        <v>676</v>
      </c>
      <c r="E144" t="s">
        <v>269</v>
      </c>
      <c r="H144" t="s">
        <v>82</v>
      </c>
      <c r="I144" t="s">
        <v>677</v>
      </c>
    </row>
    <row r="145" spans="1:9" x14ac:dyDescent="0.35">
      <c r="A145" t="s">
        <v>679</v>
      </c>
      <c r="B145" t="str">
        <f>"9780817383718"</f>
        <v>9780817383718</v>
      </c>
      <c r="C145" t="s">
        <v>682</v>
      </c>
      <c r="D145" t="s">
        <v>680</v>
      </c>
      <c r="E145" t="s">
        <v>269</v>
      </c>
      <c r="H145" t="s">
        <v>29</v>
      </c>
      <c r="I145" t="s">
        <v>681</v>
      </c>
    </row>
    <row r="146" spans="1:9" x14ac:dyDescent="0.35">
      <c r="A146" t="s">
        <v>683</v>
      </c>
      <c r="B146" t="str">
        <f>"9780817384609"</f>
        <v>9780817384609</v>
      </c>
      <c r="C146" t="s">
        <v>686</v>
      </c>
      <c r="D146" t="s">
        <v>684</v>
      </c>
      <c r="E146" t="s">
        <v>269</v>
      </c>
      <c r="H146" t="s">
        <v>29</v>
      </c>
      <c r="I146" t="s">
        <v>685</v>
      </c>
    </row>
    <row r="147" spans="1:9" x14ac:dyDescent="0.35">
      <c r="A147" t="s">
        <v>687</v>
      </c>
      <c r="B147" t="str">
        <f>"9780817382384"</f>
        <v>9780817382384</v>
      </c>
      <c r="C147" t="s">
        <v>690</v>
      </c>
      <c r="D147" t="s">
        <v>688</v>
      </c>
      <c r="E147" t="s">
        <v>269</v>
      </c>
      <c r="H147" t="s">
        <v>29</v>
      </c>
      <c r="I147" t="s">
        <v>689</v>
      </c>
    </row>
    <row r="148" spans="1:9" x14ac:dyDescent="0.35">
      <c r="A148" t="s">
        <v>691</v>
      </c>
      <c r="B148" t="str">
        <f>"9780817384654"</f>
        <v>9780817384654</v>
      </c>
      <c r="C148" t="s">
        <v>694</v>
      </c>
      <c r="D148" t="s">
        <v>692</v>
      </c>
      <c r="E148" t="s">
        <v>269</v>
      </c>
      <c r="F148" t="s">
        <v>671</v>
      </c>
      <c r="H148" t="s">
        <v>29</v>
      </c>
      <c r="I148" t="s">
        <v>693</v>
      </c>
    </row>
    <row r="149" spans="1:9" x14ac:dyDescent="0.35">
      <c r="A149" t="s">
        <v>695</v>
      </c>
      <c r="B149" t="str">
        <f>"9780817384241"</f>
        <v>9780817384241</v>
      </c>
      <c r="C149" t="s">
        <v>698</v>
      </c>
      <c r="D149" t="s">
        <v>696</v>
      </c>
      <c r="E149" t="s">
        <v>269</v>
      </c>
      <c r="H149" t="s">
        <v>29</v>
      </c>
      <c r="I149" t="s">
        <v>697</v>
      </c>
    </row>
    <row r="150" spans="1:9" x14ac:dyDescent="0.35">
      <c r="A150" t="s">
        <v>699</v>
      </c>
      <c r="B150" t="str">
        <f>"9780817384630"</f>
        <v>9780817384630</v>
      </c>
      <c r="C150" t="s">
        <v>702</v>
      </c>
      <c r="D150" t="s">
        <v>700</v>
      </c>
      <c r="E150" t="s">
        <v>269</v>
      </c>
      <c r="H150" t="s">
        <v>265</v>
      </c>
      <c r="I150" t="s">
        <v>701</v>
      </c>
    </row>
    <row r="151" spans="1:9" x14ac:dyDescent="0.35">
      <c r="A151" t="s">
        <v>703</v>
      </c>
      <c r="B151" t="str">
        <f>"9780817382520"</f>
        <v>9780817382520</v>
      </c>
      <c r="C151" t="s">
        <v>706</v>
      </c>
      <c r="D151" t="s">
        <v>704</v>
      </c>
      <c r="E151" t="s">
        <v>269</v>
      </c>
      <c r="F151" t="s">
        <v>388</v>
      </c>
      <c r="H151" t="s">
        <v>29</v>
      </c>
      <c r="I151" t="s">
        <v>705</v>
      </c>
    </row>
    <row r="152" spans="1:9" x14ac:dyDescent="0.35">
      <c r="A152" t="s">
        <v>707</v>
      </c>
      <c r="B152" t="str">
        <f>"9780817385217"</f>
        <v>9780817385217</v>
      </c>
      <c r="C152" t="s">
        <v>710</v>
      </c>
      <c r="D152" t="s">
        <v>708</v>
      </c>
      <c r="E152" t="s">
        <v>269</v>
      </c>
      <c r="H152" t="s">
        <v>29</v>
      </c>
      <c r="I152" t="s">
        <v>709</v>
      </c>
    </row>
    <row r="153" spans="1:9" x14ac:dyDescent="0.35">
      <c r="A153" t="s">
        <v>711</v>
      </c>
      <c r="B153" t="str">
        <f>"9780817384043"</f>
        <v>9780817384043</v>
      </c>
      <c r="C153" t="s">
        <v>714</v>
      </c>
      <c r="D153" t="s">
        <v>712</v>
      </c>
      <c r="E153" t="s">
        <v>269</v>
      </c>
      <c r="H153" t="s">
        <v>298</v>
      </c>
      <c r="I153" t="s">
        <v>713</v>
      </c>
    </row>
    <row r="154" spans="1:9" x14ac:dyDescent="0.35">
      <c r="A154" t="s">
        <v>715</v>
      </c>
      <c r="B154" t="str">
        <f>"9780817381196"</f>
        <v>9780817381196</v>
      </c>
      <c r="C154" t="s">
        <v>718</v>
      </c>
      <c r="D154" t="s">
        <v>716</v>
      </c>
      <c r="E154" t="s">
        <v>269</v>
      </c>
      <c r="H154" t="s">
        <v>29</v>
      </c>
      <c r="I154" t="s">
        <v>717</v>
      </c>
    </row>
    <row r="155" spans="1:9" x14ac:dyDescent="0.35">
      <c r="A155" t="s">
        <v>719</v>
      </c>
      <c r="B155" t="str">
        <f>"9780817382414"</f>
        <v>9780817382414</v>
      </c>
      <c r="C155" t="s">
        <v>722</v>
      </c>
      <c r="D155" t="s">
        <v>720</v>
      </c>
      <c r="E155" t="s">
        <v>269</v>
      </c>
      <c r="H155" t="s">
        <v>29</v>
      </c>
      <c r="I155" t="s">
        <v>721</v>
      </c>
    </row>
    <row r="156" spans="1:9" x14ac:dyDescent="0.35">
      <c r="A156" t="s">
        <v>723</v>
      </c>
      <c r="B156" t="str">
        <f>"9780817384661"</f>
        <v>9780817384661</v>
      </c>
      <c r="C156" t="s">
        <v>726</v>
      </c>
      <c r="D156" t="s">
        <v>724</v>
      </c>
      <c r="E156" t="s">
        <v>269</v>
      </c>
      <c r="F156" t="s">
        <v>274</v>
      </c>
      <c r="H156" t="s">
        <v>265</v>
      </c>
      <c r="I156" t="s">
        <v>725</v>
      </c>
    </row>
    <row r="157" spans="1:9" x14ac:dyDescent="0.35">
      <c r="A157" t="s">
        <v>727</v>
      </c>
      <c r="B157" t="str">
        <f>"9780817382421"</f>
        <v>9780817382421</v>
      </c>
      <c r="C157" t="s">
        <v>730</v>
      </c>
      <c r="D157" t="s">
        <v>728</v>
      </c>
      <c r="E157" t="s">
        <v>269</v>
      </c>
      <c r="H157" t="s">
        <v>29</v>
      </c>
      <c r="I157" t="s">
        <v>729</v>
      </c>
    </row>
    <row r="158" spans="1:9" x14ac:dyDescent="0.35">
      <c r="A158" t="s">
        <v>731</v>
      </c>
      <c r="B158" t="str">
        <f>"9780817384678"</f>
        <v>9780817384678</v>
      </c>
      <c r="C158" t="s">
        <v>734</v>
      </c>
      <c r="D158" t="s">
        <v>732</v>
      </c>
      <c r="E158" t="s">
        <v>269</v>
      </c>
      <c r="F158" t="s">
        <v>274</v>
      </c>
      <c r="H158" t="s">
        <v>82</v>
      </c>
      <c r="I158" t="s">
        <v>733</v>
      </c>
    </row>
    <row r="159" spans="1:9" x14ac:dyDescent="0.35">
      <c r="A159" t="s">
        <v>735</v>
      </c>
      <c r="B159" t="str">
        <f>"9780817382506"</f>
        <v>9780817382506</v>
      </c>
      <c r="C159" t="s">
        <v>738</v>
      </c>
      <c r="D159" t="s">
        <v>736</v>
      </c>
      <c r="E159" t="s">
        <v>269</v>
      </c>
      <c r="H159" t="s">
        <v>29</v>
      </c>
      <c r="I159" t="s">
        <v>737</v>
      </c>
    </row>
    <row r="160" spans="1:9" x14ac:dyDescent="0.35">
      <c r="A160" t="s">
        <v>739</v>
      </c>
      <c r="B160" t="str">
        <f>"9780817384593"</f>
        <v>9780817384593</v>
      </c>
      <c r="C160" t="s">
        <v>742</v>
      </c>
      <c r="D160" t="s">
        <v>740</v>
      </c>
      <c r="E160" t="s">
        <v>269</v>
      </c>
      <c r="H160" t="s">
        <v>29</v>
      </c>
      <c r="I160" t="s">
        <v>741</v>
      </c>
    </row>
    <row r="161" spans="1:9" x14ac:dyDescent="0.35">
      <c r="A161" t="s">
        <v>743</v>
      </c>
      <c r="B161" t="str">
        <f>"9780817384395"</f>
        <v>9780817384395</v>
      </c>
      <c r="C161" t="s">
        <v>746</v>
      </c>
      <c r="D161" t="s">
        <v>744</v>
      </c>
      <c r="E161" t="s">
        <v>269</v>
      </c>
      <c r="F161" t="s">
        <v>556</v>
      </c>
      <c r="H161" t="s">
        <v>29</v>
      </c>
      <c r="I161" t="s">
        <v>745</v>
      </c>
    </row>
    <row r="162" spans="1:9" x14ac:dyDescent="0.35">
      <c r="A162" t="s">
        <v>747</v>
      </c>
      <c r="B162" t="str">
        <f>"9780817383862"</f>
        <v>9780817383862</v>
      </c>
      <c r="C162" t="s">
        <v>750</v>
      </c>
      <c r="D162" t="s">
        <v>748</v>
      </c>
      <c r="E162" t="s">
        <v>269</v>
      </c>
      <c r="H162" t="s">
        <v>29</v>
      </c>
      <c r="I162" t="s">
        <v>749</v>
      </c>
    </row>
    <row r="163" spans="1:9" x14ac:dyDescent="0.35">
      <c r="A163" t="s">
        <v>751</v>
      </c>
      <c r="B163" t="str">
        <f>"9780816673735"</f>
        <v>9780816673735</v>
      </c>
      <c r="C163" t="s">
        <v>754</v>
      </c>
      <c r="D163" t="s">
        <v>752</v>
      </c>
      <c r="E163" t="s">
        <v>119</v>
      </c>
      <c r="F163" t="s">
        <v>120</v>
      </c>
      <c r="H163" t="s">
        <v>82</v>
      </c>
      <c r="I163" t="s">
        <v>753</v>
      </c>
    </row>
    <row r="164" spans="1:9" x14ac:dyDescent="0.35">
      <c r="A164" t="s">
        <v>755</v>
      </c>
      <c r="B164" t="str">
        <f>"9780816673674"</f>
        <v>9780816673674</v>
      </c>
      <c r="C164" t="s">
        <v>758</v>
      </c>
      <c r="D164" t="s">
        <v>756</v>
      </c>
      <c r="E164" t="s">
        <v>119</v>
      </c>
      <c r="F164" t="s">
        <v>120</v>
      </c>
      <c r="H164" t="s">
        <v>29</v>
      </c>
      <c r="I164" t="s">
        <v>757</v>
      </c>
    </row>
    <row r="165" spans="1:9" x14ac:dyDescent="0.35">
      <c r="A165" t="s">
        <v>759</v>
      </c>
      <c r="B165" t="str">
        <f>"9780313385667"</f>
        <v>9780313385667</v>
      </c>
      <c r="C165" t="s">
        <v>762</v>
      </c>
      <c r="D165" t="s">
        <v>760</v>
      </c>
      <c r="E165" t="s">
        <v>160</v>
      </c>
      <c r="H165" t="s">
        <v>29</v>
      </c>
      <c r="I165" t="s">
        <v>761</v>
      </c>
    </row>
    <row r="166" spans="1:9" x14ac:dyDescent="0.35">
      <c r="A166" t="s">
        <v>763</v>
      </c>
      <c r="B166" t="str">
        <f>"9780807898277"</f>
        <v>9780807898277</v>
      </c>
      <c r="C166" t="s">
        <v>766</v>
      </c>
      <c r="D166" t="s">
        <v>764</v>
      </c>
      <c r="E166" t="s">
        <v>438</v>
      </c>
      <c r="H166" t="s">
        <v>29</v>
      </c>
      <c r="I166" t="s">
        <v>765</v>
      </c>
    </row>
    <row r="167" spans="1:9" x14ac:dyDescent="0.35">
      <c r="A167" t="s">
        <v>767</v>
      </c>
      <c r="B167" t="str">
        <f>"9780807898284"</f>
        <v>9780807898284</v>
      </c>
      <c r="C167" t="s">
        <v>770</v>
      </c>
      <c r="D167" t="s">
        <v>768</v>
      </c>
      <c r="E167" t="s">
        <v>438</v>
      </c>
      <c r="H167" t="s">
        <v>265</v>
      </c>
      <c r="I167" t="s">
        <v>769</v>
      </c>
    </row>
    <row r="168" spans="1:9" x14ac:dyDescent="0.35">
      <c r="A168" t="s">
        <v>771</v>
      </c>
      <c r="B168" t="str">
        <f>"9780807898314"</f>
        <v>9780807898314</v>
      </c>
      <c r="C168" t="s">
        <v>774</v>
      </c>
      <c r="D168" t="s">
        <v>772</v>
      </c>
      <c r="E168" t="s">
        <v>438</v>
      </c>
      <c r="H168" t="s">
        <v>29</v>
      </c>
      <c r="I168" t="s">
        <v>773</v>
      </c>
    </row>
    <row r="169" spans="1:9" x14ac:dyDescent="0.35">
      <c r="A169" t="s">
        <v>775</v>
      </c>
      <c r="B169" t="str">
        <f>"9780817384951"</f>
        <v>9780817384951</v>
      </c>
      <c r="C169" t="s">
        <v>778</v>
      </c>
      <c r="D169" t="s">
        <v>776</v>
      </c>
      <c r="E169" t="s">
        <v>269</v>
      </c>
      <c r="F169" t="s">
        <v>671</v>
      </c>
      <c r="H169" t="s">
        <v>459</v>
      </c>
      <c r="I169" t="s">
        <v>777</v>
      </c>
    </row>
    <row r="170" spans="1:9" x14ac:dyDescent="0.35">
      <c r="A170" t="s">
        <v>779</v>
      </c>
      <c r="B170" t="str">
        <f>"9780817384012"</f>
        <v>9780817384012</v>
      </c>
      <c r="C170" t="s">
        <v>782</v>
      </c>
      <c r="D170" t="s">
        <v>780</v>
      </c>
      <c r="E170" t="s">
        <v>269</v>
      </c>
      <c r="H170" t="s">
        <v>29</v>
      </c>
      <c r="I170" t="s">
        <v>781</v>
      </c>
    </row>
    <row r="171" spans="1:9" x14ac:dyDescent="0.35">
      <c r="A171" t="s">
        <v>783</v>
      </c>
      <c r="B171" t="str">
        <f>"9780817384166"</f>
        <v>9780817384166</v>
      </c>
      <c r="C171" t="s">
        <v>786</v>
      </c>
      <c r="D171" t="s">
        <v>784</v>
      </c>
      <c r="E171" t="s">
        <v>269</v>
      </c>
      <c r="F171" t="s">
        <v>671</v>
      </c>
      <c r="H171" t="s">
        <v>29</v>
      </c>
      <c r="I171" t="s">
        <v>785</v>
      </c>
    </row>
    <row r="172" spans="1:9" x14ac:dyDescent="0.35">
      <c r="A172" t="s">
        <v>787</v>
      </c>
      <c r="B172" t="str">
        <f>"9780817381516"</f>
        <v>9780817381516</v>
      </c>
      <c r="C172" t="s">
        <v>790</v>
      </c>
      <c r="D172" t="s">
        <v>788</v>
      </c>
      <c r="E172" t="s">
        <v>269</v>
      </c>
      <c r="H172" t="s">
        <v>29</v>
      </c>
      <c r="I172" t="s">
        <v>789</v>
      </c>
    </row>
    <row r="173" spans="1:9" x14ac:dyDescent="0.35">
      <c r="A173" t="s">
        <v>791</v>
      </c>
      <c r="B173" t="str">
        <f>"9780817384319"</f>
        <v>9780817384319</v>
      </c>
      <c r="C173" t="s">
        <v>795</v>
      </c>
      <c r="D173" t="s">
        <v>792</v>
      </c>
      <c r="E173" t="s">
        <v>269</v>
      </c>
      <c r="H173" t="s">
        <v>793</v>
      </c>
      <c r="I173" t="s">
        <v>794</v>
      </c>
    </row>
    <row r="174" spans="1:9" x14ac:dyDescent="0.35">
      <c r="A174" t="s">
        <v>796</v>
      </c>
      <c r="B174" t="str">
        <f>"9780817384302"</f>
        <v>9780817384302</v>
      </c>
      <c r="C174" t="s">
        <v>798</v>
      </c>
      <c r="D174" t="s">
        <v>792</v>
      </c>
      <c r="E174" t="s">
        <v>269</v>
      </c>
      <c r="H174" t="s">
        <v>29</v>
      </c>
      <c r="I174" t="s">
        <v>797</v>
      </c>
    </row>
    <row r="175" spans="1:9" x14ac:dyDescent="0.35">
      <c r="A175" t="s">
        <v>799</v>
      </c>
      <c r="B175" t="str">
        <f>"9780817384340"</f>
        <v>9780817384340</v>
      </c>
      <c r="C175" t="s">
        <v>802</v>
      </c>
      <c r="D175" t="s">
        <v>800</v>
      </c>
      <c r="E175" t="s">
        <v>269</v>
      </c>
      <c r="H175" t="s">
        <v>265</v>
      </c>
      <c r="I175" t="s">
        <v>801</v>
      </c>
    </row>
    <row r="176" spans="1:9" x14ac:dyDescent="0.35">
      <c r="A176" t="s">
        <v>803</v>
      </c>
      <c r="B176" t="str">
        <f>"9780253004635"</f>
        <v>9780253004635</v>
      </c>
      <c r="C176" t="s">
        <v>806</v>
      </c>
      <c r="D176" t="s">
        <v>804</v>
      </c>
      <c r="E176" t="s">
        <v>69</v>
      </c>
      <c r="H176" t="s">
        <v>82</v>
      </c>
      <c r="I176" t="s">
        <v>805</v>
      </c>
    </row>
    <row r="177" spans="1:9" x14ac:dyDescent="0.35">
      <c r="A177" t="s">
        <v>807</v>
      </c>
      <c r="B177" t="str">
        <f>"9783110228533"</f>
        <v>9783110228533</v>
      </c>
      <c r="C177" t="s">
        <v>810</v>
      </c>
      <c r="D177" t="s">
        <v>808</v>
      </c>
      <c r="E177" t="s">
        <v>144</v>
      </c>
      <c r="F177" t="s">
        <v>145</v>
      </c>
      <c r="H177" t="s">
        <v>147</v>
      </c>
      <c r="I177" t="s">
        <v>809</v>
      </c>
    </row>
    <row r="178" spans="1:9" x14ac:dyDescent="0.35">
      <c r="A178" t="s">
        <v>811</v>
      </c>
      <c r="B178" t="str">
        <f>"9780804775786"</f>
        <v>9780804775786</v>
      </c>
      <c r="C178" t="s">
        <v>814</v>
      </c>
      <c r="D178" t="s">
        <v>812</v>
      </c>
      <c r="E178" t="s">
        <v>597</v>
      </c>
      <c r="H178" t="s">
        <v>29</v>
      </c>
      <c r="I178" t="s">
        <v>813</v>
      </c>
    </row>
    <row r="179" spans="1:9" x14ac:dyDescent="0.35">
      <c r="A179" t="s">
        <v>815</v>
      </c>
      <c r="B179" t="str">
        <f>"9780821383810"</f>
        <v>9780821383810</v>
      </c>
      <c r="C179" t="s">
        <v>821</v>
      </c>
      <c r="D179" t="s">
        <v>818</v>
      </c>
      <c r="E179" t="s">
        <v>816</v>
      </c>
      <c r="F179" t="s">
        <v>817</v>
      </c>
      <c r="H179" t="s">
        <v>819</v>
      </c>
      <c r="I179" t="s">
        <v>820</v>
      </c>
    </row>
    <row r="180" spans="1:9" x14ac:dyDescent="0.35">
      <c r="A180" t="s">
        <v>822</v>
      </c>
      <c r="B180" t="str">
        <f>"9780816668106"</f>
        <v>9780816668106</v>
      </c>
      <c r="C180" t="s">
        <v>825</v>
      </c>
      <c r="D180" t="s">
        <v>823</v>
      </c>
      <c r="E180" t="s">
        <v>119</v>
      </c>
      <c r="F180" t="s">
        <v>120</v>
      </c>
      <c r="H180" t="s">
        <v>44</v>
      </c>
      <c r="I180" t="s">
        <v>824</v>
      </c>
    </row>
    <row r="181" spans="1:9" x14ac:dyDescent="0.35">
      <c r="A181" t="s">
        <v>826</v>
      </c>
      <c r="B181" t="str">
        <f>"9781441121288"</f>
        <v>9781441121288</v>
      </c>
      <c r="C181" t="s">
        <v>831</v>
      </c>
      <c r="D181" t="s">
        <v>829</v>
      </c>
      <c r="E181" t="s">
        <v>827</v>
      </c>
      <c r="F181" t="s">
        <v>828</v>
      </c>
      <c r="H181" t="s">
        <v>29</v>
      </c>
      <c r="I181" t="s">
        <v>830</v>
      </c>
    </row>
    <row r="182" spans="1:9" x14ac:dyDescent="0.35">
      <c r="A182" t="s">
        <v>832</v>
      </c>
      <c r="B182" t="str">
        <f>"9780807899663"</f>
        <v>9780807899663</v>
      </c>
      <c r="C182" t="s">
        <v>835</v>
      </c>
      <c r="D182" t="s">
        <v>833</v>
      </c>
      <c r="E182" t="s">
        <v>438</v>
      </c>
      <c r="H182" t="s">
        <v>29</v>
      </c>
      <c r="I182" t="s">
        <v>834</v>
      </c>
    </row>
    <row r="183" spans="1:9" x14ac:dyDescent="0.35">
      <c r="A183" t="s">
        <v>836</v>
      </c>
      <c r="B183" t="str">
        <f>"9780807899571"</f>
        <v>9780807899571</v>
      </c>
      <c r="C183" t="s">
        <v>839</v>
      </c>
      <c r="D183" t="s">
        <v>837</v>
      </c>
      <c r="E183" t="s">
        <v>438</v>
      </c>
      <c r="H183" t="s">
        <v>29</v>
      </c>
      <c r="I183" t="s">
        <v>838</v>
      </c>
    </row>
    <row r="184" spans="1:9" x14ac:dyDescent="0.35">
      <c r="A184" t="s">
        <v>840</v>
      </c>
      <c r="B184" t="str">
        <f>"9780807868126"</f>
        <v>9780807868126</v>
      </c>
      <c r="C184" t="s">
        <v>843</v>
      </c>
      <c r="D184" t="s">
        <v>841</v>
      </c>
      <c r="E184" t="s">
        <v>438</v>
      </c>
      <c r="H184" t="s">
        <v>29</v>
      </c>
      <c r="I184" t="s">
        <v>842</v>
      </c>
    </row>
    <row r="185" spans="1:9" x14ac:dyDescent="0.35">
      <c r="A185" t="s">
        <v>844</v>
      </c>
      <c r="B185" t="str">
        <f>"9780807899472"</f>
        <v>9780807899472</v>
      </c>
      <c r="C185" t="s">
        <v>848</v>
      </c>
      <c r="D185" t="s">
        <v>845</v>
      </c>
      <c r="E185" t="s">
        <v>438</v>
      </c>
      <c r="H185" t="s">
        <v>846</v>
      </c>
      <c r="I185" t="s">
        <v>847</v>
      </c>
    </row>
    <row r="186" spans="1:9" x14ac:dyDescent="0.35">
      <c r="A186" t="s">
        <v>849</v>
      </c>
      <c r="B186" t="str">
        <f>"9780807899441"</f>
        <v>9780807899441</v>
      </c>
      <c r="C186" t="s">
        <v>853</v>
      </c>
      <c r="D186" t="s">
        <v>850</v>
      </c>
      <c r="E186" t="s">
        <v>438</v>
      </c>
      <c r="H186" t="s">
        <v>851</v>
      </c>
      <c r="I186" t="s">
        <v>852</v>
      </c>
    </row>
    <row r="187" spans="1:9" x14ac:dyDescent="0.35">
      <c r="A187" t="s">
        <v>854</v>
      </c>
      <c r="B187" t="str">
        <f>"9780511857935"</f>
        <v>9780511857935</v>
      </c>
      <c r="C187" t="s">
        <v>858</v>
      </c>
      <c r="D187" t="s">
        <v>856</v>
      </c>
      <c r="E187" t="s">
        <v>53</v>
      </c>
      <c r="F187" t="s">
        <v>855</v>
      </c>
      <c r="H187" t="s">
        <v>233</v>
      </c>
      <c r="I187" t="s">
        <v>857</v>
      </c>
    </row>
    <row r="188" spans="1:9" x14ac:dyDescent="0.35">
      <c r="A188" t="s">
        <v>859</v>
      </c>
      <c r="B188" t="str">
        <f>"9780759119901"</f>
        <v>9780759119901</v>
      </c>
      <c r="C188" t="s">
        <v>862</v>
      </c>
      <c r="D188" t="s">
        <v>860</v>
      </c>
      <c r="E188" t="s">
        <v>456</v>
      </c>
      <c r="F188" t="s">
        <v>468</v>
      </c>
      <c r="H188" t="s">
        <v>29</v>
      </c>
      <c r="I188" t="s">
        <v>861</v>
      </c>
    </row>
    <row r="189" spans="1:9" x14ac:dyDescent="0.35">
      <c r="A189" t="s">
        <v>863</v>
      </c>
      <c r="B189" t="str">
        <f>"9780761848264"</f>
        <v>9780761848264</v>
      </c>
      <c r="C189" t="s">
        <v>867</v>
      </c>
      <c r="D189" t="s">
        <v>865</v>
      </c>
      <c r="E189" t="s">
        <v>864</v>
      </c>
      <c r="H189" t="s">
        <v>29</v>
      </c>
      <c r="I189" t="s">
        <v>866</v>
      </c>
    </row>
    <row r="190" spans="1:9" x14ac:dyDescent="0.35">
      <c r="A190" t="s">
        <v>868</v>
      </c>
      <c r="B190" t="str">
        <f>"9781897425091"</f>
        <v>9781897425091</v>
      </c>
      <c r="C190" t="s">
        <v>872</v>
      </c>
      <c r="D190" t="s">
        <v>870</v>
      </c>
      <c r="E190" t="s">
        <v>869</v>
      </c>
      <c r="H190" t="s">
        <v>793</v>
      </c>
      <c r="I190" t="s">
        <v>871</v>
      </c>
    </row>
    <row r="191" spans="1:9" x14ac:dyDescent="0.35">
      <c r="A191" t="s">
        <v>873</v>
      </c>
      <c r="B191" t="str">
        <f>"9780803234215"</f>
        <v>9780803234215</v>
      </c>
      <c r="C191" t="s">
        <v>877</v>
      </c>
      <c r="D191" t="s">
        <v>875</v>
      </c>
      <c r="E191" t="s">
        <v>874</v>
      </c>
      <c r="F191" t="s">
        <v>186</v>
      </c>
      <c r="H191" t="s">
        <v>29</v>
      </c>
      <c r="I191" t="s">
        <v>876</v>
      </c>
    </row>
    <row r="192" spans="1:9" x14ac:dyDescent="0.35">
      <c r="A192" t="s">
        <v>878</v>
      </c>
      <c r="B192" t="str">
        <f>"9780803234369"</f>
        <v>9780803234369</v>
      </c>
      <c r="C192" t="s">
        <v>881</v>
      </c>
      <c r="D192" t="s">
        <v>879</v>
      </c>
      <c r="E192" t="s">
        <v>874</v>
      </c>
      <c r="H192" t="s">
        <v>23</v>
      </c>
      <c r="I192" t="s">
        <v>880</v>
      </c>
    </row>
    <row r="193" spans="1:9" x14ac:dyDescent="0.35">
      <c r="A193" t="s">
        <v>882</v>
      </c>
      <c r="B193" t="str">
        <f>"9789027292575"</f>
        <v>9789027292575</v>
      </c>
      <c r="C193" t="s">
        <v>886</v>
      </c>
      <c r="D193" t="s">
        <v>884</v>
      </c>
      <c r="E193" t="s">
        <v>883</v>
      </c>
      <c r="H193" t="s">
        <v>147</v>
      </c>
      <c r="I193" t="s">
        <v>885</v>
      </c>
    </row>
    <row r="194" spans="1:9" x14ac:dyDescent="0.35">
      <c r="A194" t="s">
        <v>887</v>
      </c>
      <c r="B194" t="str">
        <f>"9789027291875"</f>
        <v>9789027291875</v>
      </c>
      <c r="C194" t="s">
        <v>890</v>
      </c>
      <c r="D194" t="s">
        <v>888</v>
      </c>
      <c r="E194" t="s">
        <v>883</v>
      </c>
      <c r="H194" t="s">
        <v>147</v>
      </c>
      <c r="I194" t="s">
        <v>889</v>
      </c>
    </row>
    <row r="195" spans="1:9" x14ac:dyDescent="0.35">
      <c r="A195" t="s">
        <v>891</v>
      </c>
      <c r="B195" t="str">
        <f>"9789027291820"</f>
        <v>9789027291820</v>
      </c>
      <c r="C195" t="s">
        <v>894</v>
      </c>
      <c r="D195" t="s">
        <v>892</v>
      </c>
      <c r="E195" t="s">
        <v>883</v>
      </c>
      <c r="H195" t="s">
        <v>147</v>
      </c>
      <c r="I195" t="s">
        <v>893</v>
      </c>
    </row>
    <row r="196" spans="1:9" x14ac:dyDescent="0.35">
      <c r="A196" t="s">
        <v>895</v>
      </c>
      <c r="B196" t="str">
        <f>"9789027288509"</f>
        <v>9789027288509</v>
      </c>
      <c r="C196" t="s">
        <v>898</v>
      </c>
      <c r="D196" t="s">
        <v>896</v>
      </c>
      <c r="E196" t="s">
        <v>883</v>
      </c>
      <c r="H196" t="s">
        <v>147</v>
      </c>
      <c r="I196" t="s">
        <v>897</v>
      </c>
    </row>
    <row r="197" spans="1:9" x14ac:dyDescent="0.35">
      <c r="A197" t="s">
        <v>899</v>
      </c>
      <c r="B197" t="str">
        <f>"9789027287526"</f>
        <v>9789027287526</v>
      </c>
      <c r="C197" t="s">
        <v>902</v>
      </c>
      <c r="D197" t="s">
        <v>900</v>
      </c>
      <c r="E197" t="s">
        <v>883</v>
      </c>
      <c r="H197" t="s">
        <v>147</v>
      </c>
      <c r="I197" t="s">
        <v>901</v>
      </c>
    </row>
    <row r="198" spans="1:9" x14ac:dyDescent="0.35">
      <c r="A198" t="s">
        <v>903</v>
      </c>
      <c r="B198" t="str">
        <f>"9781849350419"</f>
        <v>9781849350419</v>
      </c>
      <c r="C198" t="s">
        <v>907</v>
      </c>
      <c r="D198" t="s">
        <v>905</v>
      </c>
      <c r="E198" t="s">
        <v>904</v>
      </c>
      <c r="H198" t="s">
        <v>29</v>
      </c>
      <c r="I198" t="s">
        <v>906</v>
      </c>
    </row>
    <row r="199" spans="1:9" x14ac:dyDescent="0.35">
      <c r="A199" t="s">
        <v>908</v>
      </c>
      <c r="B199" t="str">
        <f>"9780759119765"</f>
        <v>9780759119765</v>
      </c>
      <c r="C199" t="s">
        <v>911</v>
      </c>
      <c r="D199" t="s">
        <v>909</v>
      </c>
      <c r="E199" t="s">
        <v>456</v>
      </c>
      <c r="H199" t="s">
        <v>29</v>
      </c>
      <c r="I199" t="s">
        <v>910</v>
      </c>
    </row>
    <row r="200" spans="1:9" x14ac:dyDescent="0.35">
      <c r="A200" t="s">
        <v>912</v>
      </c>
      <c r="B200" t="str">
        <f>"9780759119932"</f>
        <v>9780759119932</v>
      </c>
      <c r="C200" t="s">
        <v>917</v>
      </c>
      <c r="D200" t="s">
        <v>914</v>
      </c>
      <c r="E200" t="s">
        <v>456</v>
      </c>
      <c r="F200" t="s">
        <v>913</v>
      </c>
      <c r="H200" t="s">
        <v>915</v>
      </c>
      <c r="I200" t="s">
        <v>916</v>
      </c>
    </row>
    <row r="201" spans="1:9" x14ac:dyDescent="0.35">
      <c r="A201" t="s">
        <v>918</v>
      </c>
      <c r="B201" t="str">
        <f>"9780759119970"</f>
        <v>9780759119970</v>
      </c>
      <c r="C201" t="s">
        <v>922</v>
      </c>
      <c r="D201" t="s">
        <v>920</v>
      </c>
      <c r="E201" t="s">
        <v>456</v>
      </c>
      <c r="F201" t="s">
        <v>919</v>
      </c>
      <c r="H201" t="s">
        <v>29</v>
      </c>
      <c r="I201" t="s">
        <v>921</v>
      </c>
    </row>
    <row r="202" spans="1:9" x14ac:dyDescent="0.35">
      <c r="A202" t="s">
        <v>923</v>
      </c>
      <c r="B202" t="str">
        <f>"9780810877405"</f>
        <v>9780810877405</v>
      </c>
      <c r="C202" t="s">
        <v>927</v>
      </c>
      <c r="D202" t="s">
        <v>925</v>
      </c>
      <c r="E202" t="s">
        <v>478</v>
      </c>
      <c r="F202" t="s">
        <v>924</v>
      </c>
      <c r="H202" t="s">
        <v>846</v>
      </c>
      <c r="I202" t="s">
        <v>926</v>
      </c>
    </row>
    <row r="203" spans="1:9" x14ac:dyDescent="0.35">
      <c r="A203" t="s">
        <v>928</v>
      </c>
      <c r="B203" t="str">
        <f>"9780803234451"</f>
        <v>9780803234451</v>
      </c>
      <c r="C203" t="s">
        <v>932</v>
      </c>
      <c r="D203" t="s">
        <v>929</v>
      </c>
      <c r="E203" t="s">
        <v>874</v>
      </c>
      <c r="H203" t="s">
        <v>930</v>
      </c>
      <c r="I203" t="s">
        <v>931</v>
      </c>
    </row>
    <row r="204" spans="1:9" x14ac:dyDescent="0.35">
      <c r="A204" t="s">
        <v>933</v>
      </c>
      <c r="B204" t="str">
        <f>"9780816675401"</f>
        <v>9780816675401</v>
      </c>
      <c r="C204" t="s">
        <v>937</v>
      </c>
      <c r="D204" t="s">
        <v>935</v>
      </c>
      <c r="E204" t="s">
        <v>119</v>
      </c>
      <c r="F204" t="s">
        <v>934</v>
      </c>
      <c r="H204" t="s">
        <v>23</v>
      </c>
      <c r="I204" t="s">
        <v>936</v>
      </c>
    </row>
    <row r="205" spans="1:9" x14ac:dyDescent="0.35">
      <c r="A205" t="s">
        <v>938</v>
      </c>
      <c r="B205" t="str">
        <f>"9780816674992"</f>
        <v>9780816674992</v>
      </c>
      <c r="C205" t="s">
        <v>942</v>
      </c>
      <c r="D205" t="s">
        <v>940</v>
      </c>
      <c r="E205" t="s">
        <v>119</v>
      </c>
      <c r="F205" t="s">
        <v>939</v>
      </c>
      <c r="H205" t="s">
        <v>29</v>
      </c>
      <c r="I205" t="s">
        <v>941</v>
      </c>
    </row>
    <row r="206" spans="1:9" x14ac:dyDescent="0.35">
      <c r="A206" t="s">
        <v>943</v>
      </c>
      <c r="B206" t="str">
        <f>"9780511988769"</f>
        <v>9780511988769</v>
      </c>
      <c r="C206" t="s">
        <v>946</v>
      </c>
      <c r="D206" t="s">
        <v>944</v>
      </c>
      <c r="E206" t="s">
        <v>53</v>
      </c>
      <c r="H206" t="s">
        <v>147</v>
      </c>
      <c r="I206" t="s">
        <v>945</v>
      </c>
    </row>
    <row r="207" spans="1:9" x14ac:dyDescent="0.35">
      <c r="A207" t="s">
        <v>947</v>
      </c>
      <c r="B207" t="str">
        <f>"9781442208162"</f>
        <v>9781442208162</v>
      </c>
      <c r="C207" t="s">
        <v>952</v>
      </c>
      <c r="D207" t="s">
        <v>950</v>
      </c>
      <c r="E207" t="s">
        <v>948</v>
      </c>
      <c r="F207" t="s">
        <v>949</v>
      </c>
      <c r="H207" t="s">
        <v>265</v>
      </c>
      <c r="I207" t="s">
        <v>951</v>
      </c>
    </row>
    <row r="208" spans="1:9" x14ac:dyDescent="0.35">
      <c r="A208" t="s">
        <v>953</v>
      </c>
      <c r="B208" t="str">
        <f>"9780807899335"</f>
        <v>9780807899335</v>
      </c>
      <c r="C208" t="s">
        <v>956</v>
      </c>
      <c r="D208" t="s">
        <v>954</v>
      </c>
      <c r="E208" t="s">
        <v>438</v>
      </c>
      <c r="H208" t="s">
        <v>29</v>
      </c>
      <c r="I208" t="s">
        <v>955</v>
      </c>
    </row>
    <row r="209" spans="1:9" x14ac:dyDescent="0.35">
      <c r="A209" t="s">
        <v>957</v>
      </c>
      <c r="B209" t="str">
        <f>"9781442207554"</f>
        <v>9781442207554</v>
      </c>
      <c r="C209" t="s">
        <v>961</v>
      </c>
      <c r="D209" t="s">
        <v>959</v>
      </c>
      <c r="E209" t="s">
        <v>948</v>
      </c>
      <c r="F209" t="s">
        <v>958</v>
      </c>
      <c r="H209" t="s">
        <v>82</v>
      </c>
      <c r="I209" t="s">
        <v>960</v>
      </c>
    </row>
    <row r="210" spans="1:9" x14ac:dyDescent="0.35">
      <c r="A210" t="s">
        <v>962</v>
      </c>
      <c r="B210" t="str">
        <f>"9780759120068"</f>
        <v>9780759120068</v>
      </c>
      <c r="C210" t="s">
        <v>965</v>
      </c>
      <c r="D210" t="s">
        <v>963</v>
      </c>
      <c r="E210" t="s">
        <v>456</v>
      </c>
      <c r="H210" t="s">
        <v>29</v>
      </c>
      <c r="I210" t="s">
        <v>964</v>
      </c>
    </row>
    <row r="211" spans="1:9" x14ac:dyDescent="0.35">
      <c r="A211" t="s">
        <v>966</v>
      </c>
      <c r="B211" t="str">
        <f>"9780759120341"</f>
        <v>9780759120341</v>
      </c>
      <c r="C211" t="s">
        <v>968</v>
      </c>
      <c r="D211" t="s">
        <v>967</v>
      </c>
      <c r="E211" t="s">
        <v>456</v>
      </c>
      <c r="H211" t="s">
        <v>29</v>
      </c>
      <c r="I211" t="s">
        <v>721</v>
      </c>
    </row>
    <row r="212" spans="1:9" x14ac:dyDescent="0.35">
      <c r="A212" t="s">
        <v>969</v>
      </c>
      <c r="B212" t="str">
        <f>"9781409424062"</f>
        <v>9781409424062</v>
      </c>
      <c r="C212" t="s">
        <v>973</v>
      </c>
      <c r="D212" t="s">
        <v>971</v>
      </c>
      <c r="E212" t="s">
        <v>9</v>
      </c>
      <c r="F212" t="s">
        <v>970</v>
      </c>
      <c r="H212" t="s">
        <v>201</v>
      </c>
      <c r="I212" t="s">
        <v>972</v>
      </c>
    </row>
    <row r="213" spans="1:9" x14ac:dyDescent="0.35">
      <c r="A213" t="s">
        <v>974</v>
      </c>
      <c r="B213" t="str">
        <f>"9780739147610"</f>
        <v>9780739147610</v>
      </c>
      <c r="C213" t="s">
        <v>978</v>
      </c>
      <c r="D213" t="s">
        <v>976</v>
      </c>
      <c r="E213" t="s">
        <v>975</v>
      </c>
      <c r="H213" t="s">
        <v>111</v>
      </c>
      <c r="I213" t="s">
        <v>977</v>
      </c>
    </row>
    <row r="214" spans="1:9" x14ac:dyDescent="0.35">
      <c r="A214" t="s">
        <v>979</v>
      </c>
      <c r="B214" t="str">
        <f>"9780203841310"</f>
        <v>9780203841310</v>
      </c>
      <c r="C214" t="s">
        <v>984</v>
      </c>
      <c r="D214" t="s">
        <v>981</v>
      </c>
      <c r="E214" t="s">
        <v>9</v>
      </c>
      <c r="F214" t="s">
        <v>980</v>
      </c>
      <c r="H214" t="s">
        <v>982</v>
      </c>
      <c r="I214" t="s">
        <v>983</v>
      </c>
    </row>
    <row r="215" spans="1:9" x14ac:dyDescent="0.35">
      <c r="A215" t="s">
        <v>985</v>
      </c>
      <c r="B215" t="str">
        <f>"9780203832905"</f>
        <v>9780203832905</v>
      </c>
      <c r="C215" t="s">
        <v>988</v>
      </c>
      <c r="D215" t="s">
        <v>986</v>
      </c>
      <c r="E215" t="s">
        <v>9</v>
      </c>
      <c r="H215" t="s">
        <v>23</v>
      </c>
      <c r="I215" t="s">
        <v>987</v>
      </c>
    </row>
    <row r="216" spans="1:9" x14ac:dyDescent="0.35">
      <c r="A216" t="s">
        <v>989</v>
      </c>
      <c r="B216" t="str">
        <f>"9780203826010"</f>
        <v>9780203826010</v>
      </c>
      <c r="C216" t="s">
        <v>993</v>
      </c>
      <c r="D216" t="s">
        <v>991</v>
      </c>
      <c r="E216" t="s">
        <v>9</v>
      </c>
      <c r="F216" t="s">
        <v>990</v>
      </c>
      <c r="H216" t="s">
        <v>82</v>
      </c>
      <c r="I216" t="s">
        <v>992</v>
      </c>
    </row>
    <row r="217" spans="1:9" x14ac:dyDescent="0.35">
      <c r="A217" t="s">
        <v>994</v>
      </c>
      <c r="B217" t="str">
        <f>"9780807898208"</f>
        <v>9780807898208</v>
      </c>
      <c r="C217" t="s">
        <v>997</v>
      </c>
      <c r="D217" t="s">
        <v>995</v>
      </c>
      <c r="E217" t="s">
        <v>438</v>
      </c>
      <c r="H217" t="s">
        <v>82</v>
      </c>
      <c r="I217" t="s">
        <v>996</v>
      </c>
    </row>
    <row r="218" spans="1:9" x14ac:dyDescent="0.35">
      <c r="A218" t="s">
        <v>998</v>
      </c>
      <c r="B218" t="str">
        <f>"9780520948716"</f>
        <v>9780520948716</v>
      </c>
      <c r="C218" t="s">
        <v>1002</v>
      </c>
      <c r="D218" t="s">
        <v>999</v>
      </c>
      <c r="E218" t="s">
        <v>42</v>
      </c>
      <c r="H218" t="s">
        <v>1000</v>
      </c>
      <c r="I218" t="s">
        <v>1001</v>
      </c>
    </row>
    <row r="219" spans="1:9" x14ac:dyDescent="0.35">
      <c r="A219" t="s">
        <v>1003</v>
      </c>
      <c r="B219" t="str">
        <f>"9781598745795"</f>
        <v>9781598745795</v>
      </c>
      <c r="C219" t="s">
        <v>1006</v>
      </c>
      <c r="D219" t="s">
        <v>1004</v>
      </c>
      <c r="E219" t="s">
        <v>9</v>
      </c>
      <c r="H219" t="s">
        <v>819</v>
      </c>
      <c r="I219" t="s">
        <v>1005</v>
      </c>
    </row>
    <row r="220" spans="1:9" x14ac:dyDescent="0.35">
      <c r="A220" t="s">
        <v>1007</v>
      </c>
      <c r="B220" t="str">
        <f>"9781598748000"</f>
        <v>9781598748000</v>
      </c>
      <c r="C220" t="s">
        <v>1010</v>
      </c>
      <c r="D220" t="s">
        <v>1008</v>
      </c>
      <c r="E220" t="s">
        <v>9</v>
      </c>
      <c r="H220" t="s">
        <v>140</v>
      </c>
      <c r="I220" t="s">
        <v>1009</v>
      </c>
    </row>
    <row r="221" spans="1:9" x14ac:dyDescent="0.35">
      <c r="A221" t="s">
        <v>1011</v>
      </c>
      <c r="B221" t="str">
        <f>"9781598747263"</f>
        <v>9781598747263</v>
      </c>
      <c r="C221" t="s">
        <v>1014</v>
      </c>
      <c r="D221" t="s">
        <v>1012</v>
      </c>
      <c r="E221" t="s">
        <v>9</v>
      </c>
      <c r="H221" t="s">
        <v>111</v>
      </c>
      <c r="I221" t="s">
        <v>1013</v>
      </c>
    </row>
    <row r="222" spans="1:9" x14ac:dyDescent="0.35">
      <c r="A222" t="s">
        <v>1015</v>
      </c>
      <c r="B222" t="str">
        <f>"9781611327922"</f>
        <v>9781611327922</v>
      </c>
      <c r="C222" t="s">
        <v>1018</v>
      </c>
      <c r="D222" t="s">
        <v>1016</v>
      </c>
      <c r="E222" t="s">
        <v>9</v>
      </c>
      <c r="H222" t="s">
        <v>29</v>
      </c>
      <c r="I222" t="s">
        <v>1017</v>
      </c>
    </row>
    <row r="223" spans="1:9" x14ac:dyDescent="0.35">
      <c r="A223" t="s">
        <v>1019</v>
      </c>
      <c r="B223" t="str">
        <f>"9781598746549"</f>
        <v>9781598746549</v>
      </c>
      <c r="C223" t="s">
        <v>1022</v>
      </c>
      <c r="D223" t="s">
        <v>1020</v>
      </c>
      <c r="E223" t="s">
        <v>9</v>
      </c>
      <c r="H223" t="s">
        <v>82</v>
      </c>
      <c r="I223" t="s">
        <v>1021</v>
      </c>
    </row>
    <row r="224" spans="1:9" x14ac:dyDescent="0.35">
      <c r="A224" t="s">
        <v>1023</v>
      </c>
      <c r="B224" t="str">
        <f>"9781598745764"</f>
        <v>9781598745764</v>
      </c>
      <c r="C224" t="s">
        <v>1026</v>
      </c>
      <c r="D224" t="s">
        <v>1024</v>
      </c>
      <c r="E224" t="s">
        <v>9</v>
      </c>
      <c r="H224" t="s">
        <v>82</v>
      </c>
      <c r="I224" t="s">
        <v>1025</v>
      </c>
    </row>
    <row r="225" spans="1:9" x14ac:dyDescent="0.35">
      <c r="A225" t="s">
        <v>1027</v>
      </c>
      <c r="B225" t="str">
        <f>"9781598747423"</f>
        <v>9781598747423</v>
      </c>
      <c r="C225" t="s">
        <v>1031</v>
      </c>
      <c r="D225" t="s">
        <v>1029</v>
      </c>
      <c r="E225" t="s">
        <v>9</v>
      </c>
      <c r="F225" t="s">
        <v>1028</v>
      </c>
      <c r="H225" t="s">
        <v>111</v>
      </c>
      <c r="I225" t="s">
        <v>1030</v>
      </c>
    </row>
    <row r="226" spans="1:9" x14ac:dyDescent="0.35">
      <c r="A226" t="s">
        <v>1032</v>
      </c>
      <c r="B226" t="str">
        <f>"9781598747966"</f>
        <v>9781598747966</v>
      </c>
      <c r="C226" t="s">
        <v>1036</v>
      </c>
      <c r="D226" t="s">
        <v>1034</v>
      </c>
      <c r="E226" t="s">
        <v>9</v>
      </c>
      <c r="F226" t="s">
        <v>1033</v>
      </c>
      <c r="H226" t="s">
        <v>29</v>
      </c>
      <c r="I226" t="s">
        <v>1035</v>
      </c>
    </row>
    <row r="227" spans="1:9" x14ac:dyDescent="0.35">
      <c r="A227" t="s">
        <v>1037</v>
      </c>
      <c r="B227" t="str">
        <f>"9781598747751"</f>
        <v>9781598747751</v>
      </c>
      <c r="C227" t="s">
        <v>1040</v>
      </c>
      <c r="D227" t="s">
        <v>1038</v>
      </c>
      <c r="E227" t="s">
        <v>9</v>
      </c>
      <c r="H227" t="s">
        <v>29</v>
      </c>
      <c r="I227" t="s">
        <v>1039</v>
      </c>
    </row>
    <row r="228" spans="1:9" x14ac:dyDescent="0.35">
      <c r="A228" t="s">
        <v>1041</v>
      </c>
      <c r="B228" t="str">
        <f>"9781598747300"</f>
        <v>9781598747300</v>
      </c>
      <c r="C228" t="s">
        <v>1045</v>
      </c>
      <c r="D228" t="s">
        <v>1043</v>
      </c>
      <c r="E228" t="s">
        <v>9</v>
      </c>
      <c r="F228" t="s">
        <v>1042</v>
      </c>
      <c r="H228" t="s">
        <v>29</v>
      </c>
      <c r="I228" t="s">
        <v>1044</v>
      </c>
    </row>
    <row r="229" spans="1:9" x14ac:dyDescent="0.35">
      <c r="A229" t="s">
        <v>1046</v>
      </c>
      <c r="B229" t="str">
        <f>"9781598747812"</f>
        <v>9781598747812</v>
      </c>
      <c r="C229" t="s">
        <v>1050</v>
      </c>
      <c r="D229" t="s">
        <v>1048</v>
      </c>
      <c r="E229" t="s">
        <v>9</v>
      </c>
      <c r="F229" t="s">
        <v>1047</v>
      </c>
      <c r="H229" t="s">
        <v>29</v>
      </c>
      <c r="I229" t="s">
        <v>1049</v>
      </c>
    </row>
    <row r="230" spans="1:9" x14ac:dyDescent="0.35">
      <c r="A230" t="s">
        <v>1051</v>
      </c>
      <c r="B230" t="str">
        <f>"9781598747898"</f>
        <v>9781598747898</v>
      </c>
      <c r="C230" t="s">
        <v>1056</v>
      </c>
      <c r="D230" t="s">
        <v>1053</v>
      </c>
      <c r="E230" t="s">
        <v>9</v>
      </c>
      <c r="F230" t="s">
        <v>1052</v>
      </c>
      <c r="H230" t="s">
        <v>1054</v>
      </c>
      <c r="I230" t="s">
        <v>1055</v>
      </c>
    </row>
    <row r="231" spans="1:9" x14ac:dyDescent="0.35">
      <c r="A231" t="s">
        <v>1057</v>
      </c>
      <c r="B231" t="str">
        <f>"9781608461073"</f>
        <v>9781608461073</v>
      </c>
      <c r="C231" t="s">
        <v>1061</v>
      </c>
      <c r="D231" t="s">
        <v>1059</v>
      </c>
      <c r="E231" t="s">
        <v>1058</v>
      </c>
      <c r="H231" t="s">
        <v>111</v>
      </c>
      <c r="I231" t="s">
        <v>1060</v>
      </c>
    </row>
    <row r="232" spans="1:9" x14ac:dyDescent="0.35">
      <c r="A232" t="s">
        <v>1062</v>
      </c>
      <c r="B232" t="str">
        <f>"9789027287090"</f>
        <v>9789027287090</v>
      </c>
      <c r="C232" t="s">
        <v>1065</v>
      </c>
      <c r="D232" t="s">
        <v>1063</v>
      </c>
      <c r="E232" t="s">
        <v>883</v>
      </c>
      <c r="H232" t="s">
        <v>147</v>
      </c>
      <c r="I232" t="s">
        <v>1064</v>
      </c>
    </row>
    <row r="233" spans="1:9" x14ac:dyDescent="0.35">
      <c r="A233" t="s">
        <v>1066</v>
      </c>
      <c r="B233" t="str">
        <f>"9781742231174"</f>
        <v>9781742231174</v>
      </c>
      <c r="C233" t="s">
        <v>1070</v>
      </c>
      <c r="D233" t="s">
        <v>1068</v>
      </c>
      <c r="E233" t="s">
        <v>1067</v>
      </c>
      <c r="H233" t="s">
        <v>111</v>
      </c>
      <c r="I233" t="s">
        <v>1069</v>
      </c>
    </row>
    <row r="234" spans="1:9" x14ac:dyDescent="0.35">
      <c r="A234" t="s">
        <v>1071</v>
      </c>
      <c r="B234" t="str">
        <f>"9789027286833"</f>
        <v>9789027286833</v>
      </c>
      <c r="C234" t="s">
        <v>1075</v>
      </c>
      <c r="D234" t="s">
        <v>1073</v>
      </c>
      <c r="E234" t="s">
        <v>883</v>
      </c>
      <c r="F234" t="s">
        <v>1072</v>
      </c>
      <c r="H234" t="s">
        <v>147</v>
      </c>
      <c r="I234" t="s">
        <v>1074</v>
      </c>
    </row>
    <row r="235" spans="1:9" x14ac:dyDescent="0.35">
      <c r="A235" t="s">
        <v>1076</v>
      </c>
      <c r="B235" t="str">
        <f>"9780875868240"</f>
        <v>9780875868240</v>
      </c>
      <c r="C235" t="s">
        <v>1079</v>
      </c>
      <c r="D235" t="s">
        <v>1077</v>
      </c>
      <c r="E235" t="s">
        <v>138</v>
      </c>
      <c r="H235" t="s">
        <v>29</v>
      </c>
      <c r="I235" t="s">
        <v>1078</v>
      </c>
    </row>
    <row r="236" spans="1:9" x14ac:dyDescent="0.35">
      <c r="A236" t="s">
        <v>1080</v>
      </c>
      <c r="B236" t="str">
        <f>"9781554581207"</f>
        <v>9781554581207</v>
      </c>
      <c r="C236" t="s">
        <v>1085</v>
      </c>
      <c r="D236" t="s">
        <v>1082</v>
      </c>
      <c r="E236" t="s">
        <v>1081</v>
      </c>
      <c r="H236" t="s">
        <v>1083</v>
      </c>
      <c r="I236" t="s">
        <v>1084</v>
      </c>
    </row>
    <row r="237" spans="1:9" x14ac:dyDescent="0.35">
      <c r="A237" t="s">
        <v>1086</v>
      </c>
      <c r="B237" t="str">
        <f>"9780804777391"</f>
        <v>9780804777391</v>
      </c>
      <c r="C237" t="s">
        <v>1089</v>
      </c>
      <c r="D237" t="s">
        <v>1087</v>
      </c>
      <c r="E237" t="s">
        <v>597</v>
      </c>
      <c r="H237" t="s">
        <v>29</v>
      </c>
      <c r="I237" t="s">
        <v>1088</v>
      </c>
    </row>
    <row r="238" spans="1:9" x14ac:dyDescent="0.35">
      <c r="A238" t="s">
        <v>1090</v>
      </c>
      <c r="B238" t="str">
        <f>"9781848135253"</f>
        <v>9781848135253</v>
      </c>
      <c r="C238" t="s">
        <v>1093</v>
      </c>
      <c r="D238" t="s">
        <v>1091</v>
      </c>
      <c r="E238" t="s">
        <v>602</v>
      </c>
      <c r="H238" t="s">
        <v>29</v>
      </c>
      <c r="I238" t="s">
        <v>1092</v>
      </c>
    </row>
    <row r="239" spans="1:9" x14ac:dyDescent="0.35">
      <c r="A239" t="s">
        <v>1094</v>
      </c>
      <c r="B239" t="str">
        <f>"9781139080866"</f>
        <v>9781139080866</v>
      </c>
      <c r="C239" t="s">
        <v>1096</v>
      </c>
      <c r="D239" t="s">
        <v>96</v>
      </c>
      <c r="E239" t="s">
        <v>53</v>
      </c>
      <c r="H239" t="s">
        <v>29</v>
      </c>
      <c r="I239" t="s">
        <v>1095</v>
      </c>
    </row>
    <row r="240" spans="1:9" x14ac:dyDescent="0.35">
      <c r="A240" t="s">
        <v>1097</v>
      </c>
      <c r="B240" t="str">
        <f>"9780203825723"</f>
        <v>9780203825723</v>
      </c>
      <c r="C240" t="s">
        <v>1101</v>
      </c>
      <c r="D240" t="s">
        <v>1099</v>
      </c>
      <c r="E240" t="s">
        <v>9</v>
      </c>
      <c r="F240" t="s">
        <v>1098</v>
      </c>
      <c r="H240" t="s">
        <v>851</v>
      </c>
      <c r="I240" t="s">
        <v>1100</v>
      </c>
    </row>
    <row r="241" spans="1:9" x14ac:dyDescent="0.35">
      <c r="A241" t="s">
        <v>1102</v>
      </c>
      <c r="B241" t="str">
        <f>"9780804779074"</f>
        <v>9780804779074</v>
      </c>
      <c r="C241" t="s">
        <v>1105</v>
      </c>
      <c r="D241" t="s">
        <v>1103</v>
      </c>
      <c r="E241" t="s">
        <v>597</v>
      </c>
      <c r="H241" t="s">
        <v>851</v>
      </c>
      <c r="I241" t="s">
        <v>1104</v>
      </c>
    </row>
    <row r="242" spans="1:9" x14ac:dyDescent="0.35">
      <c r="A242" t="s">
        <v>1106</v>
      </c>
      <c r="B242" t="str">
        <f>"9780253000910"</f>
        <v>9780253000910</v>
      </c>
      <c r="C242" t="s">
        <v>1109</v>
      </c>
      <c r="D242" t="s">
        <v>1107</v>
      </c>
      <c r="E242" t="s">
        <v>69</v>
      </c>
      <c r="H242" t="s">
        <v>140</v>
      </c>
      <c r="I242" t="s">
        <v>1108</v>
      </c>
    </row>
    <row r="243" spans="1:9" x14ac:dyDescent="0.35">
      <c r="A243" t="s">
        <v>1110</v>
      </c>
      <c r="B243" t="str">
        <f>"9781598746990"</f>
        <v>9781598746990</v>
      </c>
      <c r="C243" t="s">
        <v>1113</v>
      </c>
      <c r="D243" t="s">
        <v>1111</v>
      </c>
      <c r="E243" t="s">
        <v>9</v>
      </c>
      <c r="F243" t="s">
        <v>1047</v>
      </c>
      <c r="H243" t="s">
        <v>29</v>
      </c>
      <c r="I243" t="s">
        <v>1112</v>
      </c>
    </row>
    <row r="244" spans="1:9" x14ac:dyDescent="0.35">
      <c r="A244" t="s">
        <v>1114</v>
      </c>
      <c r="B244" t="str">
        <f>"9781611327984"</f>
        <v>9781611327984</v>
      </c>
      <c r="C244" t="s">
        <v>1116</v>
      </c>
      <c r="D244" t="s">
        <v>1020</v>
      </c>
      <c r="E244" t="s">
        <v>9</v>
      </c>
      <c r="H244" t="s">
        <v>29</v>
      </c>
      <c r="I244" t="s">
        <v>1115</v>
      </c>
    </row>
    <row r="245" spans="1:9" x14ac:dyDescent="0.35">
      <c r="A245" t="s">
        <v>1117</v>
      </c>
      <c r="B245" t="str">
        <f>"9780807877739"</f>
        <v>9780807877739</v>
      </c>
      <c r="C245" t="s">
        <v>1121</v>
      </c>
      <c r="D245" t="s">
        <v>1119</v>
      </c>
      <c r="E245" t="s">
        <v>438</v>
      </c>
      <c r="F245" t="s">
        <v>1118</v>
      </c>
      <c r="H245" t="s">
        <v>44</v>
      </c>
      <c r="I245" t="s">
        <v>1120</v>
      </c>
    </row>
    <row r="246" spans="1:9" x14ac:dyDescent="0.35">
      <c r="A246" t="s">
        <v>1122</v>
      </c>
      <c r="B246" t="str">
        <f>"9789004185401"</f>
        <v>9789004185401</v>
      </c>
      <c r="C246" t="s">
        <v>1126</v>
      </c>
      <c r="D246" t="s">
        <v>1124</v>
      </c>
      <c r="E246" t="s">
        <v>483</v>
      </c>
      <c r="F246" t="s">
        <v>1123</v>
      </c>
      <c r="H246" t="s">
        <v>147</v>
      </c>
      <c r="I246" t="s">
        <v>1125</v>
      </c>
    </row>
    <row r="247" spans="1:9" x14ac:dyDescent="0.35">
      <c r="A247" t="s">
        <v>1127</v>
      </c>
      <c r="B247" t="str">
        <f>"9780857450340"</f>
        <v>9780857450340</v>
      </c>
      <c r="C247" t="s">
        <v>1132</v>
      </c>
      <c r="D247" t="s">
        <v>1130</v>
      </c>
      <c r="E247" t="s">
        <v>1128</v>
      </c>
      <c r="F247" t="s">
        <v>1129</v>
      </c>
      <c r="H247" t="s">
        <v>111</v>
      </c>
      <c r="I247" t="s">
        <v>1131</v>
      </c>
    </row>
    <row r="248" spans="1:9" x14ac:dyDescent="0.35">
      <c r="A248" t="s">
        <v>1133</v>
      </c>
      <c r="B248" t="str">
        <f>"9780226322735"</f>
        <v>9780226322735</v>
      </c>
      <c r="C248" t="s">
        <v>1137</v>
      </c>
      <c r="D248" t="s">
        <v>1134</v>
      </c>
      <c r="E248" t="s">
        <v>230</v>
      </c>
      <c r="H248" t="s">
        <v>1135</v>
      </c>
      <c r="I248" t="s">
        <v>1136</v>
      </c>
    </row>
    <row r="249" spans="1:9" x14ac:dyDescent="0.35">
      <c r="A249" t="s">
        <v>1138</v>
      </c>
      <c r="B249" t="str">
        <f>"9780803238299"</f>
        <v>9780803238299</v>
      </c>
      <c r="C249" t="s">
        <v>1142</v>
      </c>
      <c r="D249" t="s">
        <v>1140</v>
      </c>
      <c r="E249" t="s">
        <v>874</v>
      </c>
      <c r="F249" t="s">
        <v>1139</v>
      </c>
      <c r="H249" t="s">
        <v>29</v>
      </c>
      <c r="I249" t="s">
        <v>1141</v>
      </c>
    </row>
    <row r="250" spans="1:9" x14ac:dyDescent="0.35">
      <c r="A250" t="s">
        <v>1143</v>
      </c>
      <c r="B250" t="str">
        <f>"9780803236011"</f>
        <v>9780803236011</v>
      </c>
      <c r="C250" t="s">
        <v>1146</v>
      </c>
      <c r="D250" t="s">
        <v>1144</v>
      </c>
      <c r="E250" t="s">
        <v>129</v>
      </c>
      <c r="H250" t="s">
        <v>82</v>
      </c>
      <c r="I250" t="s">
        <v>1145</v>
      </c>
    </row>
    <row r="251" spans="1:9" x14ac:dyDescent="0.35">
      <c r="A251" t="s">
        <v>1147</v>
      </c>
      <c r="B251" t="str">
        <f>"9780803235465"</f>
        <v>9780803235465</v>
      </c>
      <c r="C251" t="s">
        <v>1151</v>
      </c>
      <c r="D251" t="s">
        <v>1149</v>
      </c>
      <c r="E251" t="s">
        <v>129</v>
      </c>
      <c r="F251" t="s">
        <v>1148</v>
      </c>
      <c r="H251" t="s">
        <v>147</v>
      </c>
      <c r="I251" t="s">
        <v>1150</v>
      </c>
    </row>
    <row r="252" spans="1:9" x14ac:dyDescent="0.35">
      <c r="A252" t="s">
        <v>1152</v>
      </c>
      <c r="B252" t="str">
        <f>"9780803235410"</f>
        <v>9780803235410</v>
      </c>
      <c r="C252" t="s">
        <v>1156</v>
      </c>
      <c r="D252" t="s">
        <v>1154</v>
      </c>
      <c r="E252" t="s">
        <v>129</v>
      </c>
      <c r="F252" t="s">
        <v>1153</v>
      </c>
      <c r="H252" t="s">
        <v>147</v>
      </c>
      <c r="I252" t="s">
        <v>1155</v>
      </c>
    </row>
    <row r="253" spans="1:9" x14ac:dyDescent="0.35">
      <c r="A253" t="s">
        <v>1157</v>
      </c>
      <c r="B253" t="str">
        <f>"9781849350358"</f>
        <v>9781849350358</v>
      </c>
      <c r="C253" t="s">
        <v>1160</v>
      </c>
      <c r="D253" t="s">
        <v>1158</v>
      </c>
      <c r="E253" t="s">
        <v>904</v>
      </c>
      <c r="H253" t="s">
        <v>111</v>
      </c>
      <c r="I253" t="s">
        <v>1159</v>
      </c>
    </row>
    <row r="254" spans="1:9" x14ac:dyDescent="0.35">
      <c r="A254" t="s">
        <v>1161</v>
      </c>
      <c r="B254" t="str">
        <f>"9780807899625"</f>
        <v>9780807899625</v>
      </c>
      <c r="C254" t="s">
        <v>1164</v>
      </c>
      <c r="D254" t="s">
        <v>1162</v>
      </c>
      <c r="E254" t="s">
        <v>438</v>
      </c>
      <c r="H254" t="s">
        <v>12</v>
      </c>
      <c r="I254" t="s">
        <v>1163</v>
      </c>
    </row>
    <row r="255" spans="1:9" x14ac:dyDescent="0.35">
      <c r="A255" t="s">
        <v>1165</v>
      </c>
      <c r="B255" t="str">
        <f>"9789401200561"</f>
        <v>9789401200561</v>
      </c>
      <c r="C255" t="s">
        <v>1169</v>
      </c>
      <c r="D255" t="s">
        <v>1167</v>
      </c>
      <c r="E255" t="s">
        <v>483</v>
      </c>
      <c r="F255" t="s">
        <v>1166</v>
      </c>
      <c r="H255" t="s">
        <v>23</v>
      </c>
      <c r="I255" t="s">
        <v>1168</v>
      </c>
    </row>
    <row r="256" spans="1:9" x14ac:dyDescent="0.35">
      <c r="A256" t="s">
        <v>1170</v>
      </c>
      <c r="B256" t="str">
        <f>"9781608461714"</f>
        <v>9781608461714</v>
      </c>
      <c r="C256" t="s">
        <v>1173</v>
      </c>
      <c r="D256" t="s">
        <v>1171</v>
      </c>
      <c r="E256" t="s">
        <v>1058</v>
      </c>
      <c r="H256" t="s">
        <v>29</v>
      </c>
      <c r="I256" t="s">
        <v>1172</v>
      </c>
    </row>
    <row r="257" spans="1:9" x14ac:dyDescent="0.35">
      <c r="A257" t="s">
        <v>1174</v>
      </c>
      <c r="B257" t="str">
        <f>"9783110238235"</f>
        <v>9783110238235</v>
      </c>
      <c r="C257" t="s">
        <v>1179</v>
      </c>
      <c r="D257" t="s">
        <v>1177</v>
      </c>
      <c r="E257" t="s">
        <v>1175</v>
      </c>
      <c r="F257" t="s">
        <v>1176</v>
      </c>
      <c r="H257" t="s">
        <v>147</v>
      </c>
      <c r="I257" t="s">
        <v>1178</v>
      </c>
    </row>
    <row r="258" spans="1:9" x14ac:dyDescent="0.35">
      <c r="A258" t="s">
        <v>1180</v>
      </c>
      <c r="B258" t="str">
        <f>"9781441156969"</f>
        <v>9781441156969</v>
      </c>
      <c r="C258" t="s">
        <v>1184</v>
      </c>
      <c r="D258" t="s">
        <v>1182</v>
      </c>
      <c r="E258" t="s">
        <v>827</v>
      </c>
      <c r="F258" t="s">
        <v>1181</v>
      </c>
      <c r="H258" t="s">
        <v>23</v>
      </c>
      <c r="I258" t="s">
        <v>1183</v>
      </c>
    </row>
    <row r="259" spans="1:9" x14ac:dyDescent="0.35">
      <c r="A259" t="s">
        <v>1185</v>
      </c>
      <c r="B259" t="str">
        <f>"9789027284679"</f>
        <v>9789027284679</v>
      </c>
      <c r="C259" t="s">
        <v>1188</v>
      </c>
      <c r="D259" t="s">
        <v>1186</v>
      </c>
      <c r="E259" t="s">
        <v>883</v>
      </c>
      <c r="H259" t="s">
        <v>147</v>
      </c>
      <c r="I259" t="s">
        <v>1187</v>
      </c>
    </row>
    <row r="260" spans="1:9" x14ac:dyDescent="0.35">
      <c r="A260" t="s">
        <v>1189</v>
      </c>
      <c r="B260" t="str">
        <f>"9781572337992"</f>
        <v>9781572337992</v>
      </c>
      <c r="C260" t="s">
        <v>1193</v>
      </c>
      <c r="D260" t="s">
        <v>1191</v>
      </c>
      <c r="E260" t="s">
        <v>1190</v>
      </c>
      <c r="H260" t="s">
        <v>29</v>
      </c>
      <c r="I260" t="s">
        <v>1192</v>
      </c>
    </row>
    <row r="261" spans="1:9" x14ac:dyDescent="0.35">
      <c r="A261" t="s">
        <v>1194</v>
      </c>
      <c r="B261" t="str">
        <f>"9789004223875"</f>
        <v>9789004223875</v>
      </c>
      <c r="C261" t="s">
        <v>1198</v>
      </c>
      <c r="D261" t="s">
        <v>1196</v>
      </c>
      <c r="E261" t="s">
        <v>483</v>
      </c>
      <c r="F261" t="s">
        <v>1195</v>
      </c>
      <c r="H261" t="s">
        <v>87</v>
      </c>
      <c r="I261" t="s">
        <v>1197</v>
      </c>
    </row>
    <row r="262" spans="1:9" x14ac:dyDescent="0.35">
      <c r="A262" t="s">
        <v>1199</v>
      </c>
      <c r="B262" t="str">
        <f>"9780816678709"</f>
        <v>9780816678709</v>
      </c>
      <c r="C262" t="s">
        <v>1202</v>
      </c>
      <c r="D262" t="s">
        <v>1200</v>
      </c>
      <c r="E262" t="s">
        <v>119</v>
      </c>
      <c r="F262" t="s">
        <v>934</v>
      </c>
      <c r="H262" t="s">
        <v>44</v>
      </c>
      <c r="I262" t="s">
        <v>1201</v>
      </c>
    </row>
    <row r="263" spans="1:9" x14ac:dyDescent="0.35">
      <c r="A263" t="s">
        <v>1203</v>
      </c>
      <c r="B263" t="str">
        <f>"9789027287410"</f>
        <v>9789027287410</v>
      </c>
      <c r="C263" t="s">
        <v>1206</v>
      </c>
      <c r="D263" t="s">
        <v>1204</v>
      </c>
      <c r="E263" t="s">
        <v>883</v>
      </c>
      <c r="H263" t="s">
        <v>147</v>
      </c>
      <c r="I263" t="s">
        <v>1205</v>
      </c>
    </row>
    <row r="264" spans="1:9" x14ac:dyDescent="0.35">
      <c r="A264" t="s">
        <v>1207</v>
      </c>
      <c r="B264" t="str">
        <f>"9780520950566"</f>
        <v>9780520950566</v>
      </c>
      <c r="C264" t="s">
        <v>1210</v>
      </c>
      <c r="D264" t="s">
        <v>1208</v>
      </c>
      <c r="E264" t="s">
        <v>42</v>
      </c>
      <c r="H264" t="s">
        <v>29</v>
      </c>
      <c r="I264" t="s">
        <v>1209</v>
      </c>
    </row>
    <row r="265" spans="1:9" x14ac:dyDescent="0.35">
      <c r="A265" t="s">
        <v>1211</v>
      </c>
      <c r="B265" t="str">
        <f>"9789027284693"</f>
        <v>9789027284693</v>
      </c>
      <c r="C265" t="s">
        <v>1215</v>
      </c>
      <c r="D265" t="s">
        <v>1213</v>
      </c>
      <c r="E265" t="s">
        <v>883</v>
      </c>
      <c r="F265" t="s">
        <v>1212</v>
      </c>
      <c r="H265" t="s">
        <v>147</v>
      </c>
      <c r="I265" t="s">
        <v>1214</v>
      </c>
    </row>
    <row r="266" spans="1:9" x14ac:dyDescent="0.35">
      <c r="A266" t="s">
        <v>1216</v>
      </c>
      <c r="B266" t="str">
        <f>"9781611320176"</f>
        <v>9781611320176</v>
      </c>
      <c r="C266" t="s">
        <v>1219</v>
      </c>
      <c r="D266" t="s">
        <v>1217</v>
      </c>
      <c r="E266" t="s">
        <v>9</v>
      </c>
      <c r="F266" t="s">
        <v>1033</v>
      </c>
      <c r="H266" t="s">
        <v>29</v>
      </c>
      <c r="I266" t="s">
        <v>1218</v>
      </c>
    </row>
    <row r="267" spans="1:9" x14ac:dyDescent="0.35">
      <c r="A267" t="s">
        <v>1220</v>
      </c>
      <c r="B267" t="str">
        <f>"9780199702190"</f>
        <v>9780199702190</v>
      </c>
      <c r="C267" t="s">
        <v>1225</v>
      </c>
      <c r="D267" t="s">
        <v>1223</v>
      </c>
      <c r="E267" t="s">
        <v>1221</v>
      </c>
      <c r="F267" t="s">
        <v>1222</v>
      </c>
      <c r="H267" t="s">
        <v>29</v>
      </c>
      <c r="I267" t="s">
        <v>1224</v>
      </c>
    </row>
    <row r="268" spans="1:9" x14ac:dyDescent="0.35">
      <c r="A268" t="s">
        <v>1226</v>
      </c>
      <c r="B268" t="str">
        <f>"9780813040349"</f>
        <v>9780813040349</v>
      </c>
      <c r="C268" t="s">
        <v>1231</v>
      </c>
      <c r="D268" t="s">
        <v>1229</v>
      </c>
      <c r="E268" t="s">
        <v>1227</v>
      </c>
      <c r="F268" t="s">
        <v>1228</v>
      </c>
      <c r="H268" t="s">
        <v>111</v>
      </c>
      <c r="I268" t="s">
        <v>1230</v>
      </c>
    </row>
    <row r="269" spans="1:9" x14ac:dyDescent="0.35">
      <c r="A269" t="s">
        <v>1232</v>
      </c>
      <c r="B269" t="str">
        <f>"9781139141819"</f>
        <v>9781139141819</v>
      </c>
      <c r="C269" t="s">
        <v>1235</v>
      </c>
      <c r="D269" t="s">
        <v>1233</v>
      </c>
      <c r="E269" t="s">
        <v>53</v>
      </c>
      <c r="H269" t="s">
        <v>29</v>
      </c>
      <c r="I269" t="s">
        <v>1234</v>
      </c>
    </row>
    <row r="270" spans="1:9" x14ac:dyDescent="0.35">
      <c r="A270" t="s">
        <v>1236</v>
      </c>
      <c r="B270" t="str">
        <f>"9780819571519"</f>
        <v>9780819571519</v>
      </c>
      <c r="C270" t="s">
        <v>1240</v>
      </c>
      <c r="D270" t="s">
        <v>1238</v>
      </c>
      <c r="E270" t="s">
        <v>1237</v>
      </c>
      <c r="H270" t="s">
        <v>23</v>
      </c>
      <c r="I270" t="s">
        <v>1239</v>
      </c>
    </row>
    <row r="271" spans="1:9" x14ac:dyDescent="0.35">
      <c r="A271" t="s">
        <v>1241</v>
      </c>
      <c r="B271" t="str">
        <f>"9781139185714"</f>
        <v>9781139185714</v>
      </c>
      <c r="C271" t="s">
        <v>1245</v>
      </c>
      <c r="D271" t="s">
        <v>1242</v>
      </c>
      <c r="E271" t="s">
        <v>53</v>
      </c>
      <c r="H271" t="s">
        <v>1243</v>
      </c>
      <c r="I271" t="s">
        <v>1244</v>
      </c>
    </row>
    <row r="272" spans="1:9" x14ac:dyDescent="0.35">
      <c r="A272" t="s">
        <v>1246</v>
      </c>
      <c r="B272" t="str">
        <f>"9789401206976"</f>
        <v>9789401206976</v>
      </c>
      <c r="C272" t="s">
        <v>1250</v>
      </c>
      <c r="D272" t="s">
        <v>1247</v>
      </c>
      <c r="E272" t="s">
        <v>483</v>
      </c>
      <c r="F272" t="s">
        <v>1166</v>
      </c>
      <c r="H272" t="s">
        <v>1248</v>
      </c>
      <c r="I272" t="s">
        <v>1249</v>
      </c>
    </row>
    <row r="273" spans="1:9" x14ac:dyDescent="0.35">
      <c r="A273" t="s">
        <v>1251</v>
      </c>
      <c r="B273" t="str">
        <f>"9781780321226"</f>
        <v>9781780321226</v>
      </c>
      <c r="C273" t="s">
        <v>1254</v>
      </c>
      <c r="D273" t="s">
        <v>1252</v>
      </c>
      <c r="E273" t="s">
        <v>602</v>
      </c>
      <c r="H273" t="s">
        <v>38</v>
      </c>
      <c r="I273" t="s">
        <v>1253</v>
      </c>
    </row>
    <row r="274" spans="1:9" x14ac:dyDescent="0.35">
      <c r="A274" t="s">
        <v>1255</v>
      </c>
      <c r="B274" t="str">
        <f>"9781742232263"</f>
        <v>9781742232263</v>
      </c>
      <c r="C274" t="s">
        <v>1259</v>
      </c>
      <c r="D274" t="s">
        <v>1257</v>
      </c>
      <c r="E274" t="s">
        <v>1256</v>
      </c>
      <c r="H274" t="s">
        <v>111</v>
      </c>
      <c r="I274" t="s">
        <v>1258</v>
      </c>
    </row>
    <row r="275" spans="1:9" x14ac:dyDescent="0.35">
      <c r="A275" t="s">
        <v>1260</v>
      </c>
      <c r="B275" t="str">
        <f>"9780807882634"</f>
        <v>9780807882634</v>
      </c>
      <c r="C275" t="s">
        <v>1263</v>
      </c>
      <c r="D275" t="s">
        <v>1261</v>
      </c>
      <c r="E275" t="s">
        <v>438</v>
      </c>
      <c r="H275" t="s">
        <v>29</v>
      </c>
      <c r="I275" t="s">
        <v>1262</v>
      </c>
    </row>
    <row r="276" spans="1:9" x14ac:dyDescent="0.35">
      <c r="A276" t="s">
        <v>1264</v>
      </c>
      <c r="B276" t="str">
        <f>"9780817385316"</f>
        <v>9780817385316</v>
      </c>
      <c r="C276" t="s">
        <v>1267</v>
      </c>
      <c r="D276" t="s">
        <v>1265</v>
      </c>
      <c r="E276" t="s">
        <v>269</v>
      </c>
      <c r="H276" t="s">
        <v>29</v>
      </c>
      <c r="I276" t="s">
        <v>1266</v>
      </c>
    </row>
    <row r="277" spans="1:9" x14ac:dyDescent="0.35">
      <c r="A277" t="s">
        <v>1268</v>
      </c>
      <c r="B277" t="str">
        <f>"9780817384791"</f>
        <v>9780817384791</v>
      </c>
      <c r="C277" t="s">
        <v>1271</v>
      </c>
      <c r="D277" t="s">
        <v>1269</v>
      </c>
      <c r="E277" t="s">
        <v>269</v>
      </c>
      <c r="H277" t="s">
        <v>265</v>
      </c>
      <c r="I277" t="s">
        <v>1270</v>
      </c>
    </row>
    <row r="278" spans="1:9" x14ac:dyDescent="0.35">
      <c r="A278" t="s">
        <v>1272</v>
      </c>
      <c r="B278" t="str">
        <f>"9780817383411"</f>
        <v>9780817383411</v>
      </c>
      <c r="C278" t="s">
        <v>1276</v>
      </c>
      <c r="D278" t="s">
        <v>1273</v>
      </c>
      <c r="E278" t="s">
        <v>269</v>
      </c>
      <c r="H278" t="s">
        <v>1274</v>
      </c>
      <c r="I278" t="s">
        <v>1275</v>
      </c>
    </row>
    <row r="279" spans="1:9" x14ac:dyDescent="0.35">
      <c r="A279" t="s">
        <v>1277</v>
      </c>
      <c r="B279" t="str">
        <f>"9780817385620"</f>
        <v>9780817385620</v>
      </c>
      <c r="C279" t="s">
        <v>1280</v>
      </c>
      <c r="D279" t="s">
        <v>1278</v>
      </c>
      <c r="E279" t="s">
        <v>269</v>
      </c>
      <c r="F279" t="s">
        <v>274</v>
      </c>
      <c r="H279" t="s">
        <v>29</v>
      </c>
      <c r="I279" t="s">
        <v>1279</v>
      </c>
    </row>
    <row r="280" spans="1:9" x14ac:dyDescent="0.35">
      <c r="A280" t="s">
        <v>1281</v>
      </c>
      <c r="B280" t="str">
        <f>"9780817384210"</f>
        <v>9780817384210</v>
      </c>
      <c r="C280" t="s">
        <v>1285</v>
      </c>
      <c r="D280" t="s">
        <v>1282</v>
      </c>
      <c r="E280" t="s">
        <v>269</v>
      </c>
      <c r="F280" t="s">
        <v>556</v>
      </c>
      <c r="H280" t="s">
        <v>1283</v>
      </c>
      <c r="I280" t="s">
        <v>1284</v>
      </c>
    </row>
    <row r="281" spans="1:9" x14ac:dyDescent="0.35">
      <c r="A281" t="s">
        <v>1286</v>
      </c>
      <c r="B281" t="str">
        <f>"9780817383879"</f>
        <v>9780817383879</v>
      </c>
      <c r="C281" t="s">
        <v>1289</v>
      </c>
      <c r="D281" t="s">
        <v>1287</v>
      </c>
      <c r="E281" t="s">
        <v>269</v>
      </c>
      <c r="H281" t="s">
        <v>29</v>
      </c>
      <c r="I281" t="s">
        <v>1288</v>
      </c>
    </row>
    <row r="282" spans="1:9" x14ac:dyDescent="0.35">
      <c r="A282" t="s">
        <v>1290</v>
      </c>
      <c r="B282" t="str">
        <f>"9780817383770"</f>
        <v>9780817383770</v>
      </c>
      <c r="C282" t="s">
        <v>1293</v>
      </c>
      <c r="D282" t="s">
        <v>1291</v>
      </c>
      <c r="E282" t="s">
        <v>269</v>
      </c>
      <c r="H282" t="s">
        <v>293</v>
      </c>
      <c r="I282" t="s">
        <v>1292</v>
      </c>
    </row>
    <row r="283" spans="1:9" x14ac:dyDescent="0.35">
      <c r="A283" t="s">
        <v>1294</v>
      </c>
      <c r="B283" t="str">
        <f>"9780817383534"</f>
        <v>9780817383534</v>
      </c>
      <c r="C283" t="s">
        <v>1298</v>
      </c>
      <c r="D283" t="s">
        <v>1295</v>
      </c>
      <c r="E283" t="s">
        <v>269</v>
      </c>
      <c r="F283" t="s">
        <v>274</v>
      </c>
      <c r="H283" t="s">
        <v>1296</v>
      </c>
      <c r="I283" t="s">
        <v>1297</v>
      </c>
    </row>
    <row r="284" spans="1:9" x14ac:dyDescent="0.35">
      <c r="A284" t="s">
        <v>1299</v>
      </c>
      <c r="B284" t="str">
        <f>"9780817384197"</f>
        <v>9780817384197</v>
      </c>
      <c r="C284" t="s">
        <v>1302</v>
      </c>
      <c r="D284" t="s">
        <v>1300</v>
      </c>
      <c r="E284" t="s">
        <v>269</v>
      </c>
      <c r="H284" t="s">
        <v>29</v>
      </c>
      <c r="I284" t="s">
        <v>1301</v>
      </c>
    </row>
    <row r="285" spans="1:9" x14ac:dyDescent="0.35">
      <c r="A285" t="s">
        <v>1303</v>
      </c>
      <c r="B285" t="str">
        <f>"9780817385125"</f>
        <v>9780817385125</v>
      </c>
      <c r="C285" t="s">
        <v>1306</v>
      </c>
      <c r="D285" t="s">
        <v>1304</v>
      </c>
      <c r="E285" t="s">
        <v>269</v>
      </c>
      <c r="H285" t="s">
        <v>29</v>
      </c>
      <c r="I285" t="s">
        <v>1305</v>
      </c>
    </row>
    <row r="286" spans="1:9" x14ac:dyDescent="0.35">
      <c r="A286" t="s">
        <v>1307</v>
      </c>
      <c r="B286" t="str">
        <f>"9780817384838"</f>
        <v>9780817384838</v>
      </c>
      <c r="C286" t="s">
        <v>1310</v>
      </c>
      <c r="D286" t="s">
        <v>1308</v>
      </c>
      <c r="E286" t="s">
        <v>269</v>
      </c>
      <c r="H286" t="s">
        <v>29</v>
      </c>
      <c r="I286" t="s">
        <v>1309</v>
      </c>
    </row>
    <row r="287" spans="1:9" x14ac:dyDescent="0.35">
      <c r="A287" t="s">
        <v>1311</v>
      </c>
      <c r="B287" t="str">
        <f>"9780817385194"</f>
        <v>9780817385194</v>
      </c>
      <c r="C287" t="s">
        <v>1314</v>
      </c>
      <c r="D287" t="s">
        <v>1312</v>
      </c>
      <c r="E287" t="s">
        <v>269</v>
      </c>
      <c r="H287" t="s">
        <v>29</v>
      </c>
      <c r="I287" t="s">
        <v>1313</v>
      </c>
    </row>
    <row r="288" spans="1:9" x14ac:dyDescent="0.35">
      <c r="A288" t="s">
        <v>1315</v>
      </c>
      <c r="B288" t="str">
        <f>"9780817383374"</f>
        <v>9780817383374</v>
      </c>
      <c r="C288" t="s">
        <v>1318</v>
      </c>
      <c r="D288" t="s">
        <v>1316</v>
      </c>
      <c r="E288" t="s">
        <v>269</v>
      </c>
      <c r="H288" t="s">
        <v>29</v>
      </c>
      <c r="I288" t="s">
        <v>1317</v>
      </c>
    </row>
    <row r="289" spans="1:9" x14ac:dyDescent="0.35">
      <c r="A289" t="s">
        <v>1319</v>
      </c>
      <c r="B289" t="str">
        <f>"9780817384067"</f>
        <v>9780817384067</v>
      </c>
      <c r="C289" t="s">
        <v>1322</v>
      </c>
      <c r="D289" t="s">
        <v>1320</v>
      </c>
      <c r="E289" t="s">
        <v>269</v>
      </c>
      <c r="H289" t="s">
        <v>29</v>
      </c>
      <c r="I289" t="s">
        <v>1321</v>
      </c>
    </row>
    <row r="290" spans="1:9" x14ac:dyDescent="0.35">
      <c r="A290" t="s">
        <v>1323</v>
      </c>
      <c r="B290" t="str">
        <f>"9780817385798"</f>
        <v>9780817385798</v>
      </c>
      <c r="C290" t="s">
        <v>1325</v>
      </c>
      <c r="D290" t="s">
        <v>561</v>
      </c>
      <c r="E290" t="s">
        <v>269</v>
      </c>
      <c r="H290" t="s">
        <v>29</v>
      </c>
      <c r="I290" t="s">
        <v>1324</v>
      </c>
    </row>
    <row r="291" spans="1:9" x14ac:dyDescent="0.35">
      <c r="A291" t="s">
        <v>1326</v>
      </c>
      <c r="B291" t="str">
        <f>"9780817384296"</f>
        <v>9780817384296</v>
      </c>
      <c r="C291" t="s">
        <v>1329</v>
      </c>
      <c r="D291" t="s">
        <v>1327</v>
      </c>
      <c r="E291" t="s">
        <v>269</v>
      </c>
      <c r="F291" t="s">
        <v>671</v>
      </c>
      <c r="H291" t="s">
        <v>29</v>
      </c>
      <c r="I291" t="s">
        <v>1328</v>
      </c>
    </row>
    <row r="292" spans="1:9" x14ac:dyDescent="0.35">
      <c r="A292" t="s">
        <v>1330</v>
      </c>
      <c r="B292" t="str">
        <f>"9780817384845"</f>
        <v>9780817384845</v>
      </c>
      <c r="C292" t="s">
        <v>1333</v>
      </c>
      <c r="D292" t="s">
        <v>1331</v>
      </c>
      <c r="E292" t="s">
        <v>269</v>
      </c>
      <c r="H292" t="s">
        <v>29</v>
      </c>
      <c r="I292" t="s">
        <v>1332</v>
      </c>
    </row>
    <row r="293" spans="1:9" x14ac:dyDescent="0.35">
      <c r="A293" t="s">
        <v>1334</v>
      </c>
      <c r="B293" t="str">
        <f>"9781847695192"</f>
        <v>9781847695192</v>
      </c>
      <c r="C293" t="s">
        <v>1339</v>
      </c>
      <c r="D293" t="s">
        <v>1337</v>
      </c>
      <c r="E293" t="s">
        <v>1335</v>
      </c>
      <c r="F293" t="s">
        <v>1336</v>
      </c>
      <c r="H293" t="s">
        <v>147</v>
      </c>
      <c r="I293" t="s">
        <v>1338</v>
      </c>
    </row>
    <row r="294" spans="1:9" x14ac:dyDescent="0.35">
      <c r="A294" t="s">
        <v>1340</v>
      </c>
      <c r="B294" t="str">
        <f>"9780807869109"</f>
        <v>9780807869109</v>
      </c>
      <c r="C294" t="s">
        <v>1343</v>
      </c>
      <c r="D294" t="s">
        <v>1341</v>
      </c>
      <c r="E294" t="s">
        <v>438</v>
      </c>
      <c r="H294" t="s">
        <v>29</v>
      </c>
      <c r="I294" t="s">
        <v>1342</v>
      </c>
    </row>
    <row r="295" spans="1:9" x14ac:dyDescent="0.35">
      <c r="A295" t="s">
        <v>1344</v>
      </c>
      <c r="B295" t="str">
        <f>"9780855756925"</f>
        <v>9780855756925</v>
      </c>
      <c r="C295" t="s">
        <v>1348</v>
      </c>
      <c r="D295" t="s">
        <v>1346</v>
      </c>
      <c r="E295" t="s">
        <v>1345</v>
      </c>
      <c r="H295" t="s">
        <v>82</v>
      </c>
      <c r="I295" t="s">
        <v>1347</v>
      </c>
    </row>
    <row r="296" spans="1:9" x14ac:dyDescent="0.35">
      <c r="A296" t="s">
        <v>1349</v>
      </c>
      <c r="B296" t="str">
        <f>"9780855756949"</f>
        <v>9780855756949</v>
      </c>
      <c r="C296" t="s">
        <v>1352</v>
      </c>
      <c r="D296" t="s">
        <v>1350</v>
      </c>
      <c r="E296" t="s">
        <v>1345</v>
      </c>
      <c r="H296" t="s">
        <v>29</v>
      </c>
      <c r="I296" t="s">
        <v>1351</v>
      </c>
    </row>
    <row r="297" spans="1:9" x14ac:dyDescent="0.35">
      <c r="A297" t="s">
        <v>1353</v>
      </c>
      <c r="B297" t="str">
        <f>"9780855756888"</f>
        <v>9780855756888</v>
      </c>
      <c r="C297" t="s">
        <v>1356</v>
      </c>
      <c r="D297" t="s">
        <v>1354</v>
      </c>
      <c r="E297" t="s">
        <v>1345</v>
      </c>
      <c r="H297" t="s">
        <v>87</v>
      </c>
      <c r="I297" t="s">
        <v>1355</v>
      </c>
    </row>
    <row r="298" spans="1:9" x14ac:dyDescent="0.35">
      <c r="A298" t="s">
        <v>1357</v>
      </c>
      <c r="B298" t="str">
        <f>"9780855757465"</f>
        <v>9780855757465</v>
      </c>
      <c r="C298" t="s">
        <v>1361</v>
      </c>
      <c r="D298" t="s">
        <v>1358</v>
      </c>
      <c r="E298" t="s">
        <v>1345</v>
      </c>
      <c r="H298" t="s">
        <v>1359</v>
      </c>
      <c r="I298" t="s">
        <v>1360</v>
      </c>
    </row>
    <row r="299" spans="1:9" x14ac:dyDescent="0.35">
      <c r="A299" t="s">
        <v>1362</v>
      </c>
      <c r="B299" t="str">
        <f>"9780803230446"</f>
        <v>9780803230446</v>
      </c>
      <c r="C299" t="s">
        <v>1366</v>
      </c>
      <c r="D299" t="s">
        <v>1364</v>
      </c>
      <c r="E299" t="s">
        <v>1363</v>
      </c>
      <c r="H299" t="s">
        <v>29</v>
      </c>
      <c r="I299" t="s">
        <v>1365</v>
      </c>
    </row>
    <row r="300" spans="1:9" x14ac:dyDescent="0.35">
      <c r="A300" t="s">
        <v>1367</v>
      </c>
      <c r="B300" t="str">
        <f>"9780817385941"</f>
        <v>9780817385941</v>
      </c>
      <c r="C300" t="s">
        <v>1370</v>
      </c>
      <c r="D300" t="s">
        <v>1368</v>
      </c>
      <c r="E300" t="s">
        <v>269</v>
      </c>
      <c r="F300" t="s">
        <v>274</v>
      </c>
      <c r="H300" t="s">
        <v>44</v>
      </c>
      <c r="I300" t="s">
        <v>1369</v>
      </c>
    </row>
    <row r="301" spans="1:9" x14ac:dyDescent="0.35">
      <c r="A301" t="s">
        <v>1371</v>
      </c>
      <c r="B301" t="str">
        <f>"9781587297533"</f>
        <v>9781587297533</v>
      </c>
      <c r="C301" t="s">
        <v>1375</v>
      </c>
      <c r="D301" t="s">
        <v>1373</v>
      </c>
      <c r="E301" t="s">
        <v>1372</v>
      </c>
      <c r="H301" t="s">
        <v>29</v>
      </c>
      <c r="I301" t="s">
        <v>1374</v>
      </c>
    </row>
    <row r="302" spans="1:9" x14ac:dyDescent="0.35">
      <c r="A302" t="s">
        <v>1376</v>
      </c>
      <c r="B302" t="str">
        <f>"9781587298820"</f>
        <v>9781587298820</v>
      </c>
      <c r="C302" t="s">
        <v>1380</v>
      </c>
      <c r="D302" t="s">
        <v>1378</v>
      </c>
      <c r="E302" t="s">
        <v>1372</v>
      </c>
      <c r="F302" t="s">
        <v>1377</v>
      </c>
      <c r="H302" t="s">
        <v>29</v>
      </c>
      <c r="I302" t="s">
        <v>1379</v>
      </c>
    </row>
    <row r="303" spans="1:9" x14ac:dyDescent="0.35">
      <c r="A303" t="s">
        <v>1381</v>
      </c>
      <c r="B303" t="str">
        <f>"9781587298837"</f>
        <v>9781587298837</v>
      </c>
      <c r="C303" t="s">
        <v>1384</v>
      </c>
      <c r="D303" t="s">
        <v>1382</v>
      </c>
      <c r="E303" t="s">
        <v>1372</v>
      </c>
      <c r="F303" t="s">
        <v>1377</v>
      </c>
      <c r="H303" t="s">
        <v>29</v>
      </c>
      <c r="I303" t="s">
        <v>1383</v>
      </c>
    </row>
    <row r="304" spans="1:9" x14ac:dyDescent="0.35">
      <c r="A304" t="s">
        <v>1385</v>
      </c>
      <c r="B304" t="str">
        <f>"9781587298332"</f>
        <v>9781587298332</v>
      </c>
      <c r="C304" t="s">
        <v>1388</v>
      </c>
      <c r="D304" t="s">
        <v>1386</v>
      </c>
      <c r="E304" t="s">
        <v>1372</v>
      </c>
      <c r="H304" t="s">
        <v>29</v>
      </c>
      <c r="I304" t="s">
        <v>1387</v>
      </c>
    </row>
    <row r="305" spans="1:9" x14ac:dyDescent="0.35">
      <c r="A305" t="s">
        <v>1389</v>
      </c>
      <c r="B305" t="str">
        <f>"9783110258035"</f>
        <v>9783110258035</v>
      </c>
      <c r="C305" t="s">
        <v>1393</v>
      </c>
      <c r="D305" t="s">
        <v>1391</v>
      </c>
      <c r="E305" t="s">
        <v>144</v>
      </c>
      <c r="F305" t="s">
        <v>1390</v>
      </c>
      <c r="H305" t="s">
        <v>147</v>
      </c>
      <c r="I305" t="s">
        <v>1392</v>
      </c>
    </row>
    <row r="306" spans="1:9" x14ac:dyDescent="0.35">
      <c r="A306" t="s">
        <v>1394</v>
      </c>
      <c r="B306" t="str">
        <f>"9780813550961"</f>
        <v>9780813550961</v>
      </c>
      <c r="C306" t="s">
        <v>1397</v>
      </c>
      <c r="D306" t="s">
        <v>1395</v>
      </c>
      <c r="E306" t="s">
        <v>258</v>
      </c>
      <c r="H306" t="s">
        <v>29</v>
      </c>
      <c r="I306" t="s">
        <v>1396</v>
      </c>
    </row>
    <row r="307" spans="1:9" x14ac:dyDescent="0.35">
      <c r="A307" t="s">
        <v>1398</v>
      </c>
      <c r="B307" t="str">
        <f>"9780520950290"</f>
        <v>9780520950290</v>
      </c>
      <c r="C307" t="s">
        <v>1401</v>
      </c>
      <c r="D307" t="s">
        <v>1399</v>
      </c>
      <c r="E307" t="s">
        <v>42</v>
      </c>
      <c r="H307" t="s">
        <v>29</v>
      </c>
      <c r="I307" t="s">
        <v>1400</v>
      </c>
    </row>
    <row r="308" spans="1:9" x14ac:dyDescent="0.35">
      <c r="A308" t="s">
        <v>1402</v>
      </c>
      <c r="B308" t="str">
        <f>"9780816678365"</f>
        <v>9780816678365</v>
      </c>
      <c r="C308" t="s">
        <v>1405</v>
      </c>
      <c r="D308" t="s">
        <v>1403</v>
      </c>
      <c r="E308" t="s">
        <v>119</v>
      </c>
      <c r="F308" t="s">
        <v>934</v>
      </c>
      <c r="H308" t="s">
        <v>44</v>
      </c>
      <c r="I308" t="s">
        <v>1404</v>
      </c>
    </row>
    <row r="309" spans="1:9" x14ac:dyDescent="0.35">
      <c r="A309" t="s">
        <v>1406</v>
      </c>
      <c r="B309" t="str">
        <f>"9780520951990"</f>
        <v>9780520951990</v>
      </c>
      <c r="C309" t="s">
        <v>1410</v>
      </c>
      <c r="D309" t="s">
        <v>1408</v>
      </c>
      <c r="E309" t="s">
        <v>42</v>
      </c>
      <c r="F309" t="s">
        <v>1407</v>
      </c>
      <c r="H309" t="s">
        <v>29</v>
      </c>
      <c r="I309" t="s">
        <v>1409</v>
      </c>
    </row>
    <row r="310" spans="1:9" x14ac:dyDescent="0.35">
      <c r="A310" t="s">
        <v>1411</v>
      </c>
      <c r="B310" t="str">
        <f>"9780520949676"</f>
        <v>9780520949676</v>
      </c>
      <c r="C310" t="s">
        <v>1414</v>
      </c>
      <c r="D310" t="s">
        <v>1412</v>
      </c>
      <c r="E310" t="s">
        <v>42</v>
      </c>
      <c r="H310" t="s">
        <v>29</v>
      </c>
      <c r="I310" t="s">
        <v>1413</v>
      </c>
    </row>
    <row r="311" spans="1:9" x14ac:dyDescent="0.35">
      <c r="A311" t="s">
        <v>1415</v>
      </c>
      <c r="B311" t="str">
        <f>"9780813553443"</f>
        <v>9780813553443</v>
      </c>
      <c r="C311" t="s">
        <v>1419</v>
      </c>
      <c r="D311" t="s">
        <v>1417</v>
      </c>
      <c r="E311" t="s">
        <v>258</v>
      </c>
      <c r="F311" t="s">
        <v>1416</v>
      </c>
      <c r="H311" t="s">
        <v>111</v>
      </c>
      <c r="I311" t="s">
        <v>1418</v>
      </c>
    </row>
    <row r="312" spans="1:9" x14ac:dyDescent="0.35">
      <c r="A312" t="s">
        <v>1420</v>
      </c>
      <c r="B312" t="str">
        <f>"9780313391804"</f>
        <v>9780313391804</v>
      </c>
      <c r="C312" t="s">
        <v>1424</v>
      </c>
      <c r="D312" t="s">
        <v>1422</v>
      </c>
      <c r="E312" t="s">
        <v>160</v>
      </c>
      <c r="F312" t="s">
        <v>1421</v>
      </c>
      <c r="H312" t="s">
        <v>140</v>
      </c>
      <c r="I312" t="s">
        <v>1423</v>
      </c>
    </row>
    <row r="313" spans="1:9" x14ac:dyDescent="0.35">
      <c r="A313" t="s">
        <v>1425</v>
      </c>
      <c r="B313" t="str">
        <f>"9780759121249"</f>
        <v>9780759121249</v>
      </c>
      <c r="C313" t="s">
        <v>1428</v>
      </c>
      <c r="D313" t="s">
        <v>1426</v>
      </c>
      <c r="E313" t="s">
        <v>456</v>
      </c>
      <c r="F313" t="s">
        <v>913</v>
      </c>
      <c r="H313" t="s">
        <v>147</v>
      </c>
      <c r="I313" t="s">
        <v>1427</v>
      </c>
    </row>
    <row r="314" spans="1:9" x14ac:dyDescent="0.35">
      <c r="A314" t="s">
        <v>1429</v>
      </c>
      <c r="B314" t="str">
        <f>"9780807867730"</f>
        <v>9780807867730</v>
      </c>
      <c r="C314" t="s">
        <v>1432</v>
      </c>
      <c r="D314" t="s">
        <v>1430</v>
      </c>
      <c r="E314" t="s">
        <v>438</v>
      </c>
      <c r="H314" t="s">
        <v>29</v>
      </c>
      <c r="I314" t="s">
        <v>1431</v>
      </c>
    </row>
    <row r="315" spans="1:9" x14ac:dyDescent="0.35">
      <c r="A315" t="s">
        <v>1433</v>
      </c>
      <c r="B315" t="str">
        <f>"9780807877265"</f>
        <v>9780807877265</v>
      </c>
      <c r="C315" t="s">
        <v>1437</v>
      </c>
      <c r="D315" t="s">
        <v>1435</v>
      </c>
      <c r="E315" t="s">
        <v>1434</v>
      </c>
      <c r="H315" t="s">
        <v>216</v>
      </c>
      <c r="I315" t="s">
        <v>1436</v>
      </c>
    </row>
    <row r="316" spans="1:9" x14ac:dyDescent="0.35">
      <c r="A316" t="s">
        <v>1438</v>
      </c>
      <c r="B316" t="str">
        <f>"9781139374958"</f>
        <v>9781139374958</v>
      </c>
      <c r="C316" t="s">
        <v>1441</v>
      </c>
      <c r="D316" t="s">
        <v>1439</v>
      </c>
      <c r="E316" t="s">
        <v>53</v>
      </c>
      <c r="H316" t="s">
        <v>140</v>
      </c>
      <c r="I316" t="s">
        <v>1440</v>
      </c>
    </row>
    <row r="317" spans="1:9" x14ac:dyDescent="0.35">
      <c r="A317" t="s">
        <v>1442</v>
      </c>
      <c r="B317" t="str">
        <f>"9781139376068"</f>
        <v>9781139376068</v>
      </c>
      <c r="C317" t="s">
        <v>1445</v>
      </c>
      <c r="D317" t="s">
        <v>1443</v>
      </c>
      <c r="E317" t="s">
        <v>53</v>
      </c>
      <c r="H317" t="s">
        <v>111</v>
      </c>
      <c r="I317" t="s">
        <v>1444</v>
      </c>
    </row>
    <row r="318" spans="1:9" x14ac:dyDescent="0.35">
      <c r="A318" t="s">
        <v>1446</v>
      </c>
      <c r="B318" t="str">
        <f>"9780816678440"</f>
        <v>9780816678440</v>
      </c>
      <c r="C318" t="s">
        <v>1451</v>
      </c>
      <c r="D318" t="s">
        <v>1448</v>
      </c>
      <c r="E318" t="s">
        <v>119</v>
      </c>
      <c r="F318" t="s">
        <v>1447</v>
      </c>
      <c r="H318" t="s">
        <v>1449</v>
      </c>
      <c r="I318" t="s">
        <v>1450</v>
      </c>
    </row>
    <row r="319" spans="1:9" x14ac:dyDescent="0.35">
      <c r="A319" t="s">
        <v>1452</v>
      </c>
      <c r="B319" t="str">
        <f>"9780199855605"</f>
        <v>9780199855605</v>
      </c>
      <c r="C319" t="s">
        <v>1455</v>
      </c>
      <c r="D319" t="s">
        <v>1453</v>
      </c>
      <c r="E319" t="s">
        <v>241</v>
      </c>
      <c r="H319" t="s">
        <v>44</v>
      </c>
      <c r="I319" t="s">
        <v>1454</v>
      </c>
    </row>
    <row r="320" spans="1:9" x14ac:dyDescent="0.35">
      <c r="A320" t="s">
        <v>1456</v>
      </c>
      <c r="B320" t="str">
        <f>"9781589794658"</f>
        <v>9781589794658</v>
      </c>
      <c r="C320" t="s">
        <v>1460</v>
      </c>
      <c r="D320" t="s">
        <v>1458</v>
      </c>
      <c r="E320" t="s">
        <v>1457</v>
      </c>
      <c r="H320" t="s">
        <v>29</v>
      </c>
      <c r="I320" t="s">
        <v>1459</v>
      </c>
    </row>
    <row r="321" spans="1:9" x14ac:dyDescent="0.35">
      <c r="A321" t="s">
        <v>1461</v>
      </c>
      <c r="B321" t="str">
        <f>"9783110276770"</f>
        <v>9783110276770</v>
      </c>
      <c r="C321" t="s">
        <v>1465</v>
      </c>
      <c r="D321" t="s">
        <v>1463</v>
      </c>
      <c r="E321" t="s">
        <v>144</v>
      </c>
      <c r="F321" t="s">
        <v>1462</v>
      </c>
      <c r="H321" t="s">
        <v>147</v>
      </c>
      <c r="I321" t="s">
        <v>1464</v>
      </c>
    </row>
    <row r="322" spans="1:9" x14ac:dyDescent="0.35">
      <c r="A322" t="s">
        <v>1466</v>
      </c>
      <c r="B322" t="str">
        <f>"9781299943537"</f>
        <v>9781299943537</v>
      </c>
      <c r="C322" t="s">
        <v>1469</v>
      </c>
      <c r="D322" t="s">
        <v>1467</v>
      </c>
      <c r="E322" t="s">
        <v>119</v>
      </c>
      <c r="H322" t="s">
        <v>29</v>
      </c>
      <c r="I322" t="s">
        <v>1468</v>
      </c>
    </row>
    <row r="323" spans="1:9" x14ac:dyDescent="0.35">
      <c r="A323" t="s">
        <v>1470</v>
      </c>
      <c r="B323" t="str">
        <f>"9780813043517"</f>
        <v>9780813043517</v>
      </c>
      <c r="C323" t="s">
        <v>1474</v>
      </c>
      <c r="D323" t="s">
        <v>1472</v>
      </c>
      <c r="E323" t="s">
        <v>1227</v>
      </c>
      <c r="F323" t="s">
        <v>1471</v>
      </c>
      <c r="H323" t="s">
        <v>29</v>
      </c>
      <c r="I323" t="s">
        <v>1473</v>
      </c>
    </row>
    <row r="324" spans="1:9" x14ac:dyDescent="0.35">
      <c r="A324" t="s">
        <v>1475</v>
      </c>
      <c r="B324" t="str">
        <f>"9781139420099"</f>
        <v>9781139420099</v>
      </c>
      <c r="C324" t="s">
        <v>1478</v>
      </c>
      <c r="D324" t="s">
        <v>1476</v>
      </c>
      <c r="E324" t="s">
        <v>53</v>
      </c>
      <c r="H324" t="s">
        <v>1359</v>
      </c>
      <c r="I324" t="s">
        <v>1477</v>
      </c>
    </row>
    <row r="325" spans="1:9" x14ac:dyDescent="0.35">
      <c r="A325" t="s">
        <v>1479</v>
      </c>
      <c r="B325" t="str">
        <f>"9780231517355"</f>
        <v>9780231517355</v>
      </c>
      <c r="C325" t="s">
        <v>1485</v>
      </c>
      <c r="D325" t="s">
        <v>1482</v>
      </c>
      <c r="E325" t="s">
        <v>1480</v>
      </c>
      <c r="F325" t="s">
        <v>1481</v>
      </c>
      <c r="H325" t="s">
        <v>1483</v>
      </c>
      <c r="I325" t="s">
        <v>1484</v>
      </c>
    </row>
    <row r="326" spans="1:9" x14ac:dyDescent="0.35">
      <c r="A326" t="s">
        <v>1486</v>
      </c>
      <c r="B326" t="str">
        <f>"9780231520102"</f>
        <v>9780231520102</v>
      </c>
      <c r="C326" t="s">
        <v>1490</v>
      </c>
      <c r="D326" t="s">
        <v>1488</v>
      </c>
      <c r="E326" t="s">
        <v>1480</v>
      </c>
      <c r="F326" t="s">
        <v>1487</v>
      </c>
      <c r="H326" t="s">
        <v>29</v>
      </c>
      <c r="I326" t="s">
        <v>1489</v>
      </c>
    </row>
    <row r="327" spans="1:9" x14ac:dyDescent="0.35">
      <c r="A327" t="s">
        <v>1491</v>
      </c>
      <c r="B327" t="str">
        <f>"9781611320930"</f>
        <v>9781611320930</v>
      </c>
      <c r="C327" t="s">
        <v>1494</v>
      </c>
      <c r="D327" t="s">
        <v>1492</v>
      </c>
      <c r="E327" t="s">
        <v>9</v>
      </c>
      <c r="H327" t="s">
        <v>29</v>
      </c>
      <c r="I327" t="s">
        <v>1493</v>
      </c>
    </row>
    <row r="328" spans="1:9" x14ac:dyDescent="0.35">
      <c r="A328" t="s">
        <v>1495</v>
      </c>
      <c r="B328" t="str">
        <f>"9780803238121"</f>
        <v>9780803238121</v>
      </c>
      <c r="C328" t="s">
        <v>1499</v>
      </c>
      <c r="D328" t="s">
        <v>1497</v>
      </c>
      <c r="E328" t="s">
        <v>1496</v>
      </c>
      <c r="H328" t="s">
        <v>29</v>
      </c>
      <c r="I328" t="s">
        <v>1498</v>
      </c>
    </row>
    <row r="329" spans="1:9" x14ac:dyDescent="0.35">
      <c r="A329" t="s">
        <v>1500</v>
      </c>
      <c r="B329" t="str">
        <f>"9780803238114"</f>
        <v>9780803238114</v>
      </c>
      <c r="C329" t="s">
        <v>1503</v>
      </c>
      <c r="D329" t="s">
        <v>1501</v>
      </c>
      <c r="E329" t="s">
        <v>874</v>
      </c>
      <c r="H329" t="s">
        <v>29</v>
      </c>
      <c r="I329" t="s">
        <v>1502</v>
      </c>
    </row>
    <row r="330" spans="1:9" x14ac:dyDescent="0.35">
      <c r="A330" t="s">
        <v>1504</v>
      </c>
      <c r="B330" t="str">
        <f>"9780803239890"</f>
        <v>9780803239890</v>
      </c>
      <c r="C330" t="s">
        <v>1507</v>
      </c>
      <c r="D330" t="s">
        <v>1505</v>
      </c>
      <c r="E330" t="s">
        <v>1363</v>
      </c>
      <c r="H330" t="s">
        <v>82</v>
      </c>
      <c r="I330" t="s">
        <v>1506</v>
      </c>
    </row>
    <row r="331" spans="1:9" x14ac:dyDescent="0.35">
      <c r="A331" t="s">
        <v>1508</v>
      </c>
      <c r="B331" t="str">
        <f>"9780857453457"</f>
        <v>9780857453457</v>
      </c>
      <c r="C331" t="s">
        <v>1511</v>
      </c>
      <c r="D331" t="s">
        <v>1509</v>
      </c>
      <c r="E331" t="s">
        <v>1128</v>
      </c>
      <c r="H331" t="s">
        <v>29</v>
      </c>
      <c r="I331" t="s">
        <v>1510</v>
      </c>
    </row>
    <row r="332" spans="1:9" x14ac:dyDescent="0.35">
      <c r="A332" t="s">
        <v>1512</v>
      </c>
      <c r="B332" t="str">
        <f>"9780803240216"</f>
        <v>9780803240216</v>
      </c>
      <c r="C332" t="s">
        <v>1515</v>
      </c>
      <c r="D332" t="s">
        <v>1513</v>
      </c>
      <c r="E332" t="s">
        <v>874</v>
      </c>
      <c r="H332" t="s">
        <v>29</v>
      </c>
      <c r="I332" t="s">
        <v>1514</v>
      </c>
    </row>
    <row r="333" spans="1:9" x14ac:dyDescent="0.35">
      <c r="A333" t="s">
        <v>1516</v>
      </c>
      <c r="B333" t="str">
        <f>"9780803240391"</f>
        <v>9780803240391</v>
      </c>
      <c r="C333" t="s">
        <v>1520</v>
      </c>
      <c r="D333" t="s">
        <v>1518</v>
      </c>
      <c r="E333" t="s">
        <v>1363</v>
      </c>
      <c r="F333" t="s">
        <v>1517</v>
      </c>
      <c r="H333" t="s">
        <v>29</v>
      </c>
      <c r="I333" t="s">
        <v>1519</v>
      </c>
    </row>
    <row r="334" spans="1:9" x14ac:dyDescent="0.35">
      <c r="A334" t="s">
        <v>1521</v>
      </c>
      <c r="B334" t="str">
        <f>"9780803243446"</f>
        <v>9780803243446</v>
      </c>
      <c r="C334" t="s">
        <v>1524</v>
      </c>
      <c r="D334" t="s">
        <v>1522</v>
      </c>
      <c r="E334" t="s">
        <v>874</v>
      </c>
      <c r="H334" t="s">
        <v>29</v>
      </c>
      <c r="I334" t="s">
        <v>1523</v>
      </c>
    </row>
    <row r="335" spans="1:9" x14ac:dyDescent="0.35">
      <c r="A335" t="s">
        <v>1525</v>
      </c>
      <c r="B335" t="str">
        <f>"9780803241725"</f>
        <v>9780803241725</v>
      </c>
      <c r="C335" t="s">
        <v>1529</v>
      </c>
      <c r="D335" t="s">
        <v>1527</v>
      </c>
      <c r="E335" t="s">
        <v>874</v>
      </c>
      <c r="F335" t="s">
        <v>1526</v>
      </c>
      <c r="H335" t="s">
        <v>82</v>
      </c>
      <c r="I335" t="s">
        <v>1528</v>
      </c>
    </row>
    <row r="336" spans="1:9" x14ac:dyDescent="0.35">
      <c r="A336" t="s">
        <v>1530</v>
      </c>
      <c r="B336" t="str">
        <f>"9780803240827"</f>
        <v>9780803240827</v>
      </c>
      <c r="C336" t="s">
        <v>1533</v>
      </c>
      <c r="D336" t="s">
        <v>1531</v>
      </c>
      <c r="E336" t="s">
        <v>1363</v>
      </c>
      <c r="F336" t="s">
        <v>625</v>
      </c>
      <c r="H336" t="s">
        <v>298</v>
      </c>
      <c r="I336" t="s">
        <v>1532</v>
      </c>
    </row>
    <row r="337" spans="1:9" x14ac:dyDescent="0.35">
      <c r="A337" t="s">
        <v>1534</v>
      </c>
      <c r="B337" t="str">
        <f>"9780803238107"</f>
        <v>9780803238107</v>
      </c>
      <c r="C337" t="s">
        <v>1537</v>
      </c>
      <c r="D337" t="s">
        <v>1535</v>
      </c>
      <c r="E337" t="s">
        <v>874</v>
      </c>
      <c r="H337" t="s">
        <v>147</v>
      </c>
      <c r="I337" t="s">
        <v>1536</v>
      </c>
    </row>
    <row r="338" spans="1:9" x14ac:dyDescent="0.35">
      <c r="A338" t="s">
        <v>1538</v>
      </c>
      <c r="B338" t="str">
        <f>"9780803226869"</f>
        <v>9780803226869</v>
      </c>
      <c r="C338" t="s">
        <v>1541</v>
      </c>
      <c r="D338" t="s">
        <v>1539</v>
      </c>
      <c r="E338" t="s">
        <v>874</v>
      </c>
      <c r="F338" t="s">
        <v>1148</v>
      </c>
      <c r="H338" t="s">
        <v>147</v>
      </c>
      <c r="I338" t="s">
        <v>1540</v>
      </c>
    </row>
    <row r="339" spans="1:9" x14ac:dyDescent="0.35">
      <c r="A339" t="s">
        <v>1542</v>
      </c>
      <c r="B339" t="str">
        <f>"9780739175705"</f>
        <v>9780739175705</v>
      </c>
      <c r="C339" t="s">
        <v>1545</v>
      </c>
      <c r="D339" t="s">
        <v>1543</v>
      </c>
      <c r="E339" t="s">
        <v>975</v>
      </c>
      <c r="H339" t="s">
        <v>111</v>
      </c>
      <c r="I339" t="s">
        <v>1544</v>
      </c>
    </row>
    <row r="340" spans="1:9" x14ac:dyDescent="0.35">
      <c r="A340" t="s">
        <v>1546</v>
      </c>
      <c r="B340" t="str">
        <f>"9780739137802"</f>
        <v>9780739137802</v>
      </c>
      <c r="C340" t="s">
        <v>1550</v>
      </c>
      <c r="D340" t="s">
        <v>1547</v>
      </c>
      <c r="E340" t="s">
        <v>975</v>
      </c>
      <c r="H340" t="s">
        <v>1548</v>
      </c>
      <c r="I340" t="s">
        <v>1549</v>
      </c>
    </row>
    <row r="341" spans="1:9" x14ac:dyDescent="0.35">
      <c r="A341" t="s">
        <v>1551</v>
      </c>
      <c r="B341" t="str">
        <f>"9780803243309"</f>
        <v>9780803243309</v>
      </c>
      <c r="C341" t="s">
        <v>1554</v>
      </c>
      <c r="D341" t="s">
        <v>1552</v>
      </c>
      <c r="E341" t="s">
        <v>874</v>
      </c>
      <c r="H341" t="s">
        <v>29</v>
      </c>
      <c r="I341" t="s">
        <v>1553</v>
      </c>
    </row>
    <row r="342" spans="1:9" x14ac:dyDescent="0.35">
      <c r="A342" t="s">
        <v>1555</v>
      </c>
      <c r="B342" t="str">
        <f>"9781469606439"</f>
        <v>9781469606439</v>
      </c>
      <c r="C342" t="s">
        <v>1558</v>
      </c>
      <c r="D342" t="s">
        <v>1556</v>
      </c>
      <c r="E342" t="s">
        <v>1434</v>
      </c>
      <c r="H342" t="s">
        <v>140</v>
      </c>
      <c r="I342" t="s">
        <v>1557</v>
      </c>
    </row>
    <row r="343" spans="1:9" x14ac:dyDescent="0.35">
      <c r="A343" t="s">
        <v>1559</v>
      </c>
      <c r="B343" t="str">
        <f>"9780520951341"</f>
        <v>9780520951341</v>
      </c>
      <c r="C343" t="s">
        <v>1562</v>
      </c>
      <c r="D343" t="s">
        <v>1560</v>
      </c>
      <c r="E343" t="s">
        <v>42</v>
      </c>
      <c r="H343" t="s">
        <v>265</v>
      </c>
      <c r="I343" t="s">
        <v>1561</v>
      </c>
    </row>
    <row r="344" spans="1:9" x14ac:dyDescent="0.35">
      <c r="A344" t="s">
        <v>1563</v>
      </c>
      <c r="B344" t="str">
        <f>"9783110923148"</f>
        <v>9783110923148</v>
      </c>
      <c r="C344" t="s">
        <v>1567</v>
      </c>
      <c r="D344" t="s">
        <v>1565</v>
      </c>
      <c r="E344" t="s">
        <v>144</v>
      </c>
      <c r="F344" t="s">
        <v>1564</v>
      </c>
      <c r="H344" t="s">
        <v>147</v>
      </c>
      <c r="I344" t="s">
        <v>1566</v>
      </c>
    </row>
    <row r="345" spans="1:9" x14ac:dyDescent="0.35">
      <c r="A345" t="s">
        <v>1568</v>
      </c>
      <c r="B345" t="str">
        <f>"9780203336472"</f>
        <v>9780203336472</v>
      </c>
      <c r="C345" t="s">
        <v>1571</v>
      </c>
      <c r="D345" t="s">
        <v>1569</v>
      </c>
      <c r="E345" t="s">
        <v>9</v>
      </c>
      <c r="H345" t="s">
        <v>29</v>
      </c>
      <c r="I345" t="s">
        <v>1570</v>
      </c>
    </row>
    <row r="346" spans="1:9" x14ac:dyDescent="0.35">
      <c r="A346" t="s">
        <v>1572</v>
      </c>
      <c r="B346" t="str">
        <f>"9780520953468"</f>
        <v>9780520953468</v>
      </c>
      <c r="C346" t="s">
        <v>1575</v>
      </c>
      <c r="D346" t="s">
        <v>1573</v>
      </c>
      <c r="E346" t="s">
        <v>42</v>
      </c>
      <c r="H346" t="s">
        <v>29</v>
      </c>
      <c r="I346" t="s">
        <v>1574</v>
      </c>
    </row>
    <row r="347" spans="1:9" x14ac:dyDescent="0.35">
      <c r="A347" t="s">
        <v>1576</v>
      </c>
      <c r="B347" t="str">
        <f>"9780520942288"</f>
        <v>9780520942288</v>
      </c>
      <c r="C347" t="s">
        <v>1581</v>
      </c>
      <c r="D347" t="s">
        <v>1578</v>
      </c>
      <c r="E347" t="s">
        <v>42</v>
      </c>
      <c r="F347" t="s">
        <v>1577</v>
      </c>
      <c r="H347" t="s">
        <v>1579</v>
      </c>
      <c r="I347" t="s">
        <v>1580</v>
      </c>
    </row>
    <row r="348" spans="1:9" x14ac:dyDescent="0.35">
      <c r="A348" t="s">
        <v>1582</v>
      </c>
      <c r="B348" t="str">
        <f>"9780191553059"</f>
        <v>9780191553059</v>
      </c>
      <c r="C348" t="s">
        <v>1585</v>
      </c>
      <c r="D348" t="s">
        <v>1583</v>
      </c>
      <c r="E348" t="s">
        <v>74</v>
      </c>
      <c r="H348" t="s">
        <v>233</v>
      </c>
      <c r="I348" t="s">
        <v>1584</v>
      </c>
    </row>
    <row r="349" spans="1:9" x14ac:dyDescent="0.35">
      <c r="A349" t="s">
        <v>1586</v>
      </c>
      <c r="B349" t="str">
        <f>"9780817385392"</f>
        <v>9780817385392</v>
      </c>
      <c r="C349" t="s">
        <v>1588</v>
      </c>
      <c r="D349" t="s">
        <v>744</v>
      </c>
      <c r="E349" t="s">
        <v>269</v>
      </c>
      <c r="H349" t="s">
        <v>29</v>
      </c>
      <c r="I349" t="s">
        <v>1587</v>
      </c>
    </row>
    <row r="350" spans="1:9" x14ac:dyDescent="0.35">
      <c r="A350" t="s">
        <v>1589</v>
      </c>
      <c r="B350" t="str">
        <f>"9780816680139"</f>
        <v>9780816680139</v>
      </c>
      <c r="C350" t="s">
        <v>1592</v>
      </c>
      <c r="D350" t="s">
        <v>1590</v>
      </c>
      <c r="E350" t="s">
        <v>119</v>
      </c>
      <c r="F350" t="s">
        <v>939</v>
      </c>
      <c r="H350" t="s">
        <v>87</v>
      </c>
      <c r="I350" t="s">
        <v>1591</v>
      </c>
    </row>
    <row r="351" spans="1:9" x14ac:dyDescent="0.35">
      <c r="A351" t="s">
        <v>1593</v>
      </c>
      <c r="B351" t="str">
        <f>"9781139530620"</f>
        <v>9781139530620</v>
      </c>
      <c r="C351" t="s">
        <v>1596</v>
      </c>
      <c r="D351" t="s">
        <v>1594</v>
      </c>
      <c r="E351" t="s">
        <v>53</v>
      </c>
      <c r="H351" t="s">
        <v>430</v>
      </c>
      <c r="I351" t="s">
        <v>1595</v>
      </c>
    </row>
    <row r="352" spans="1:9" x14ac:dyDescent="0.35">
      <c r="A352" t="s">
        <v>1597</v>
      </c>
      <c r="B352" t="str">
        <f>"9781847697417"</f>
        <v>9781847697417</v>
      </c>
      <c r="C352" t="s">
        <v>1601</v>
      </c>
      <c r="D352" t="s">
        <v>1599</v>
      </c>
      <c r="E352" t="s">
        <v>1335</v>
      </c>
      <c r="F352" t="s">
        <v>1598</v>
      </c>
      <c r="H352" t="s">
        <v>851</v>
      </c>
      <c r="I352" t="s">
        <v>1600</v>
      </c>
    </row>
    <row r="353" spans="1:9" x14ac:dyDescent="0.35">
      <c r="A353" t="s">
        <v>1602</v>
      </c>
      <c r="B353" t="str">
        <f>"9780203124000"</f>
        <v>9780203124000</v>
      </c>
      <c r="C353" t="s">
        <v>1605</v>
      </c>
      <c r="D353" t="s">
        <v>1603</v>
      </c>
      <c r="E353" t="s">
        <v>9</v>
      </c>
      <c r="H353" t="s">
        <v>111</v>
      </c>
      <c r="I353" t="s">
        <v>1604</v>
      </c>
    </row>
    <row r="354" spans="1:9" x14ac:dyDescent="0.35">
      <c r="A354" t="s">
        <v>1606</v>
      </c>
      <c r="B354" t="str">
        <f>"9780520916104"</f>
        <v>9780520916104</v>
      </c>
      <c r="C354" t="s">
        <v>1610</v>
      </c>
      <c r="D354" t="s">
        <v>1608</v>
      </c>
      <c r="E354" t="s">
        <v>42</v>
      </c>
      <c r="F354" t="s">
        <v>1607</v>
      </c>
      <c r="H354" t="s">
        <v>147</v>
      </c>
      <c r="I354" t="s">
        <v>1609</v>
      </c>
    </row>
    <row r="355" spans="1:9" x14ac:dyDescent="0.35">
      <c r="A355" t="s">
        <v>1611</v>
      </c>
      <c r="B355" t="str">
        <f>"9780231511025"</f>
        <v>9780231511025</v>
      </c>
      <c r="C355" t="s">
        <v>1616</v>
      </c>
      <c r="D355" t="s">
        <v>1613</v>
      </c>
      <c r="E355" t="s">
        <v>1480</v>
      </c>
      <c r="F355" t="s">
        <v>1612</v>
      </c>
      <c r="H355" t="s">
        <v>1614</v>
      </c>
      <c r="I355" t="s">
        <v>1615</v>
      </c>
    </row>
    <row r="356" spans="1:9" x14ac:dyDescent="0.35">
      <c r="A356" t="s">
        <v>1617</v>
      </c>
      <c r="B356" t="str">
        <f>"9780817386153"</f>
        <v>9780817386153</v>
      </c>
      <c r="C356" t="s">
        <v>1620</v>
      </c>
      <c r="D356" t="s">
        <v>1618</v>
      </c>
      <c r="E356" t="s">
        <v>269</v>
      </c>
      <c r="H356" t="s">
        <v>29</v>
      </c>
      <c r="I356" t="s">
        <v>1619</v>
      </c>
    </row>
    <row r="357" spans="1:9" x14ac:dyDescent="0.35">
      <c r="A357" t="s">
        <v>1621</v>
      </c>
      <c r="B357" t="str">
        <f>"9780817386078"</f>
        <v>9780817386078</v>
      </c>
      <c r="C357" t="s">
        <v>1624</v>
      </c>
      <c r="D357" t="s">
        <v>1622</v>
      </c>
      <c r="E357" t="s">
        <v>269</v>
      </c>
      <c r="H357" t="s">
        <v>29</v>
      </c>
      <c r="I357" t="s">
        <v>1623</v>
      </c>
    </row>
    <row r="358" spans="1:9" x14ac:dyDescent="0.35">
      <c r="A358" t="s">
        <v>1625</v>
      </c>
      <c r="B358" t="str">
        <f>"9780803238268"</f>
        <v>9780803238268</v>
      </c>
      <c r="C358" t="s">
        <v>1628</v>
      </c>
      <c r="D358" t="s">
        <v>1626</v>
      </c>
      <c r="E358" t="s">
        <v>1363</v>
      </c>
      <c r="H358" t="s">
        <v>201</v>
      </c>
      <c r="I358" t="s">
        <v>1627</v>
      </c>
    </row>
    <row r="359" spans="1:9" x14ac:dyDescent="0.35">
      <c r="A359" t="s">
        <v>1629</v>
      </c>
      <c r="B359" t="str">
        <f>"9789048514380"</f>
        <v>9789048514380</v>
      </c>
      <c r="C359" t="s">
        <v>1634</v>
      </c>
      <c r="D359" t="s">
        <v>1632</v>
      </c>
      <c r="E359" t="s">
        <v>1630</v>
      </c>
      <c r="F359" t="s">
        <v>1631</v>
      </c>
      <c r="H359" t="s">
        <v>82</v>
      </c>
      <c r="I359" t="s">
        <v>1633</v>
      </c>
    </row>
    <row r="360" spans="1:9" x14ac:dyDescent="0.35">
      <c r="A360" t="s">
        <v>1635</v>
      </c>
      <c r="B360" t="str">
        <f>"9789004215160"</f>
        <v>9789004215160</v>
      </c>
      <c r="C360" t="s">
        <v>1640</v>
      </c>
      <c r="D360" t="s">
        <v>1637</v>
      </c>
      <c r="E360" t="s">
        <v>483</v>
      </c>
      <c r="F360" t="s">
        <v>1636</v>
      </c>
      <c r="H360" t="s">
        <v>1638</v>
      </c>
      <c r="I360" t="s">
        <v>1639</v>
      </c>
    </row>
    <row r="361" spans="1:9" x14ac:dyDescent="0.35">
      <c r="A361" t="s">
        <v>1641</v>
      </c>
      <c r="B361" t="str">
        <f>"9780855757823"</f>
        <v>9780855757823</v>
      </c>
      <c r="C361" t="s">
        <v>1644</v>
      </c>
      <c r="D361" t="s">
        <v>1642</v>
      </c>
      <c r="E361" t="s">
        <v>1345</v>
      </c>
      <c r="H361" t="s">
        <v>82</v>
      </c>
      <c r="I361" t="s">
        <v>1643</v>
      </c>
    </row>
    <row r="362" spans="1:9" x14ac:dyDescent="0.35">
      <c r="A362" t="s">
        <v>1645</v>
      </c>
      <c r="B362" t="str">
        <f>"9780855757830"</f>
        <v>9780855757830</v>
      </c>
      <c r="C362" t="s">
        <v>1648</v>
      </c>
      <c r="D362" t="s">
        <v>1646</v>
      </c>
      <c r="E362" t="s">
        <v>1345</v>
      </c>
      <c r="H362" t="s">
        <v>82</v>
      </c>
      <c r="I362" t="s">
        <v>1647</v>
      </c>
    </row>
    <row r="363" spans="1:9" x14ac:dyDescent="0.35">
      <c r="A363" t="s">
        <v>1649</v>
      </c>
      <c r="B363" t="str">
        <f>"9781922059062"</f>
        <v>9781922059062</v>
      </c>
      <c r="C363" t="s">
        <v>1652</v>
      </c>
      <c r="D363" t="s">
        <v>1650</v>
      </c>
      <c r="E363" t="s">
        <v>1345</v>
      </c>
      <c r="H363" t="s">
        <v>82</v>
      </c>
      <c r="I363" t="s">
        <v>1651</v>
      </c>
    </row>
    <row r="364" spans="1:9" x14ac:dyDescent="0.35">
      <c r="A364" t="s">
        <v>1653</v>
      </c>
      <c r="B364" t="str">
        <f>"9780803245419"</f>
        <v>9780803245419</v>
      </c>
      <c r="C364" t="s">
        <v>1656</v>
      </c>
      <c r="D364" t="s">
        <v>1654</v>
      </c>
      <c r="E364" t="s">
        <v>1363</v>
      </c>
      <c r="H364" t="s">
        <v>82</v>
      </c>
      <c r="I364" t="s">
        <v>1655</v>
      </c>
    </row>
    <row r="365" spans="1:9" x14ac:dyDescent="0.35">
      <c r="A365" t="s">
        <v>1657</v>
      </c>
      <c r="B365" t="str">
        <f>"9789004234581"</f>
        <v>9789004234581</v>
      </c>
      <c r="C365" t="s">
        <v>1662</v>
      </c>
      <c r="D365" t="s">
        <v>1659</v>
      </c>
      <c r="E365" t="s">
        <v>483</v>
      </c>
      <c r="F365" t="s">
        <v>1658</v>
      </c>
      <c r="H365" t="s">
        <v>1660</v>
      </c>
      <c r="I365" t="s">
        <v>1661</v>
      </c>
    </row>
    <row r="366" spans="1:9" x14ac:dyDescent="0.35">
      <c r="A366" t="s">
        <v>1663</v>
      </c>
      <c r="B366" t="str">
        <f>"9780739143933"</f>
        <v>9780739143933</v>
      </c>
      <c r="C366" t="s">
        <v>1666</v>
      </c>
      <c r="D366" t="s">
        <v>1664</v>
      </c>
      <c r="E366" t="s">
        <v>975</v>
      </c>
      <c r="H366" t="s">
        <v>38</v>
      </c>
      <c r="I366" t="s">
        <v>1665</v>
      </c>
    </row>
    <row r="367" spans="1:9" x14ac:dyDescent="0.35">
      <c r="A367" t="s">
        <v>1667</v>
      </c>
      <c r="B367" t="str">
        <f>"9780813042985"</f>
        <v>9780813042985</v>
      </c>
      <c r="C367" t="s">
        <v>1671</v>
      </c>
      <c r="D367" t="s">
        <v>1669</v>
      </c>
      <c r="E367" t="s">
        <v>1227</v>
      </c>
      <c r="F367" t="s">
        <v>1668</v>
      </c>
      <c r="H367" t="s">
        <v>29</v>
      </c>
      <c r="I367" t="s">
        <v>1670</v>
      </c>
    </row>
    <row r="368" spans="1:9" x14ac:dyDescent="0.35">
      <c r="A368" t="s">
        <v>1672</v>
      </c>
      <c r="B368" t="str">
        <f>"9781136494475"</f>
        <v>9781136494475</v>
      </c>
      <c r="C368" t="s">
        <v>1676</v>
      </c>
      <c r="D368" t="s">
        <v>1673</v>
      </c>
      <c r="E368" t="s">
        <v>9</v>
      </c>
      <c r="F368" t="s">
        <v>27</v>
      </c>
      <c r="H368" t="s">
        <v>1674</v>
      </c>
      <c r="I368" t="s">
        <v>1675</v>
      </c>
    </row>
    <row r="369" spans="1:9" x14ac:dyDescent="0.35">
      <c r="A369" t="s">
        <v>1677</v>
      </c>
      <c r="B369" t="str">
        <f>"9781139572613"</f>
        <v>9781139572613</v>
      </c>
      <c r="C369" t="s">
        <v>1680</v>
      </c>
      <c r="D369" t="s">
        <v>1678</v>
      </c>
      <c r="E369" t="s">
        <v>53</v>
      </c>
      <c r="H369" t="s">
        <v>29</v>
      </c>
      <c r="I369" t="s">
        <v>1679</v>
      </c>
    </row>
    <row r="370" spans="1:9" x14ac:dyDescent="0.35">
      <c r="A370" t="s">
        <v>1681</v>
      </c>
      <c r="B370" t="str">
        <f>"9780520954212"</f>
        <v>9780520954212</v>
      </c>
      <c r="C370" t="s">
        <v>1685</v>
      </c>
      <c r="D370" t="s">
        <v>1683</v>
      </c>
      <c r="E370" t="s">
        <v>42</v>
      </c>
      <c r="F370" t="s">
        <v>1682</v>
      </c>
      <c r="H370" t="s">
        <v>265</v>
      </c>
      <c r="I370" t="s">
        <v>1684</v>
      </c>
    </row>
    <row r="371" spans="1:9" x14ac:dyDescent="0.35">
      <c r="A371" t="s">
        <v>1686</v>
      </c>
      <c r="B371" t="str">
        <f>"9780761848608"</f>
        <v>9780761848608</v>
      </c>
      <c r="C371" t="s">
        <v>1689</v>
      </c>
      <c r="D371" t="s">
        <v>1687</v>
      </c>
      <c r="E371" t="s">
        <v>463</v>
      </c>
      <c r="H371" t="s">
        <v>29</v>
      </c>
      <c r="I371" t="s">
        <v>1688</v>
      </c>
    </row>
    <row r="372" spans="1:9" x14ac:dyDescent="0.35">
      <c r="A372" t="s">
        <v>1690</v>
      </c>
      <c r="B372" t="str">
        <f>"9780803244658"</f>
        <v>9780803244658</v>
      </c>
      <c r="C372" t="s">
        <v>1693</v>
      </c>
      <c r="D372" t="s">
        <v>1691</v>
      </c>
      <c r="E372" t="s">
        <v>1363</v>
      </c>
      <c r="H372" t="s">
        <v>44</v>
      </c>
      <c r="I372" t="s">
        <v>1692</v>
      </c>
    </row>
    <row r="373" spans="1:9" x14ac:dyDescent="0.35">
      <c r="A373" t="s">
        <v>1694</v>
      </c>
      <c r="B373" t="str">
        <f>"9780803271524"</f>
        <v>9780803271524</v>
      </c>
      <c r="C373" t="s">
        <v>1697</v>
      </c>
      <c r="D373" t="s">
        <v>1695</v>
      </c>
      <c r="E373" t="s">
        <v>874</v>
      </c>
      <c r="H373" t="s">
        <v>29</v>
      </c>
      <c r="I373" t="s">
        <v>1696</v>
      </c>
    </row>
    <row r="374" spans="1:9" x14ac:dyDescent="0.35">
      <c r="A374" t="s">
        <v>1698</v>
      </c>
      <c r="B374" t="str">
        <f>"9780803244627"</f>
        <v>9780803244627</v>
      </c>
      <c r="C374" t="s">
        <v>1701</v>
      </c>
      <c r="D374" t="s">
        <v>1699</v>
      </c>
      <c r="E374" t="s">
        <v>1363</v>
      </c>
      <c r="F374" t="s">
        <v>625</v>
      </c>
      <c r="H374" t="s">
        <v>201</v>
      </c>
      <c r="I374" t="s">
        <v>1700</v>
      </c>
    </row>
    <row r="375" spans="1:9" x14ac:dyDescent="0.35">
      <c r="A375" t="s">
        <v>1702</v>
      </c>
      <c r="B375" t="str">
        <f>"9789004233874"</f>
        <v>9789004233874</v>
      </c>
      <c r="C375" t="s">
        <v>1706</v>
      </c>
      <c r="D375" t="s">
        <v>1704</v>
      </c>
      <c r="E375" t="s">
        <v>483</v>
      </c>
      <c r="F375" t="s">
        <v>1703</v>
      </c>
      <c r="H375" t="s">
        <v>29</v>
      </c>
      <c r="I375" t="s">
        <v>1705</v>
      </c>
    </row>
    <row r="376" spans="1:9" x14ac:dyDescent="0.35">
      <c r="A376" t="s">
        <v>1707</v>
      </c>
      <c r="B376" t="str">
        <f>"9780803271586"</f>
        <v>9780803271586</v>
      </c>
      <c r="C376" t="s">
        <v>1710</v>
      </c>
      <c r="D376" t="s">
        <v>1708</v>
      </c>
      <c r="E376" t="s">
        <v>874</v>
      </c>
      <c r="H376" t="s">
        <v>29</v>
      </c>
      <c r="I376" t="s">
        <v>1709</v>
      </c>
    </row>
    <row r="377" spans="1:9" x14ac:dyDescent="0.35">
      <c r="A377" t="s">
        <v>1711</v>
      </c>
      <c r="B377" t="str">
        <f>"9783110301076"</f>
        <v>9783110301076</v>
      </c>
      <c r="C377" t="s">
        <v>1715</v>
      </c>
      <c r="D377" t="s">
        <v>1713</v>
      </c>
      <c r="E377" t="s">
        <v>144</v>
      </c>
      <c r="F377" t="s">
        <v>1712</v>
      </c>
      <c r="H377" t="s">
        <v>147</v>
      </c>
      <c r="I377" t="s">
        <v>1714</v>
      </c>
    </row>
    <row r="378" spans="1:9" x14ac:dyDescent="0.35">
      <c r="A378" t="s">
        <v>1716</v>
      </c>
      <c r="B378" t="str">
        <f>"9780804784993"</f>
        <v>9780804784993</v>
      </c>
      <c r="C378" t="s">
        <v>1719</v>
      </c>
      <c r="D378" t="s">
        <v>1717</v>
      </c>
      <c r="E378" t="s">
        <v>597</v>
      </c>
      <c r="H378" t="s">
        <v>29</v>
      </c>
      <c r="I378" t="s">
        <v>1718</v>
      </c>
    </row>
    <row r="379" spans="1:9" x14ac:dyDescent="0.35">
      <c r="A379" t="s">
        <v>1720</v>
      </c>
      <c r="B379" t="str">
        <f>"9780857455093"</f>
        <v>9780857455093</v>
      </c>
      <c r="C379" t="s">
        <v>1724</v>
      </c>
      <c r="D379" t="s">
        <v>1722</v>
      </c>
      <c r="E379" t="s">
        <v>1128</v>
      </c>
      <c r="F379" t="s">
        <v>1721</v>
      </c>
      <c r="H379" t="s">
        <v>265</v>
      </c>
      <c r="I379" t="s">
        <v>1723</v>
      </c>
    </row>
    <row r="380" spans="1:9" x14ac:dyDescent="0.35">
      <c r="A380" t="s">
        <v>1725</v>
      </c>
      <c r="B380" t="str">
        <f>"9781139781732"</f>
        <v>9781139781732</v>
      </c>
      <c r="C380" t="s">
        <v>1728</v>
      </c>
      <c r="D380" t="s">
        <v>1726</v>
      </c>
      <c r="E380" t="s">
        <v>53</v>
      </c>
      <c r="H380" t="s">
        <v>29</v>
      </c>
      <c r="I380" t="s">
        <v>1727</v>
      </c>
    </row>
    <row r="381" spans="1:9" x14ac:dyDescent="0.35">
      <c r="A381" t="s">
        <v>1729</v>
      </c>
      <c r="B381" t="str">
        <f>"9780803244924"</f>
        <v>9780803244924</v>
      </c>
      <c r="C381" t="s">
        <v>1732</v>
      </c>
      <c r="D381" t="s">
        <v>1730</v>
      </c>
      <c r="E381" t="s">
        <v>1496</v>
      </c>
      <c r="H381" t="s">
        <v>29</v>
      </c>
      <c r="I381" t="s">
        <v>1731</v>
      </c>
    </row>
    <row r="382" spans="1:9" x14ac:dyDescent="0.35">
      <c r="A382" t="s">
        <v>1733</v>
      </c>
      <c r="B382" t="str">
        <f>"9780803244917"</f>
        <v>9780803244917</v>
      </c>
      <c r="C382" t="s">
        <v>1736</v>
      </c>
      <c r="D382" t="s">
        <v>1734</v>
      </c>
      <c r="E382" t="s">
        <v>874</v>
      </c>
      <c r="H382" t="s">
        <v>29</v>
      </c>
      <c r="I382" t="s">
        <v>1735</v>
      </c>
    </row>
    <row r="383" spans="1:9" x14ac:dyDescent="0.35">
      <c r="A383" t="s">
        <v>1737</v>
      </c>
      <c r="B383" t="str">
        <f>"9780803240469"</f>
        <v>9780803240469</v>
      </c>
      <c r="C383" t="s">
        <v>1740</v>
      </c>
      <c r="D383" t="s">
        <v>1738</v>
      </c>
      <c r="E383" t="s">
        <v>1363</v>
      </c>
      <c r="H383" t="s">
        <v>29</v>
      </c>
      <c r="I383" t="s">
        <v>1739</v>
      </c>
    </row>
    <row r="384" spans="1:9" x14ac:dyDescent="0.35">
      <c r="A384" t="s">
        <v>1741</v>
      </c>
      <c r="B384" t="str">
        <f>"9780817386214"</f>
        <v>9780817386214</v>
      </c>
      <c r="C384" t="s">
        <v>1744</v>
      </c>
      <c r="D384" t="s">
        <v>1742</v>
      </c>
      <c r="E384" t="s">
        <v>269</v>
      </c>
      <c r="H384" t="s">
        <v>49</v>
      </c>
      <c r="I384" t="s">
        <v>1743</v>
      </c>
    </row>
    <row r="385" spans="1:9" x14ac:dyDescent="0.35">
      <c r="A385" t="s">
        <v>1745</v>
      </c>
      <c r="B385" t="str">
        <f>"9780816682706"</f>
        <v>9780816682706</v>
      </c>
      <c r="C385" t="s">
        <v>1748</v>
      </c>
      <c r="D385" t="s">
        <v>1746</v>
      </c>
      <c r="E385" t="s">
        <v>119</v>
      </c>
      <c r="F385" t="s">
        <v>120</v>
      </c>
      <c r="H385" t="s">
        <v>23</v>
      </c>
      <c r="I385" t="s">
        <v>1747</v>
      </c>
    </row>
    <row r="386" spans="1:9" x14ac:dyDescent="0.35">
      <c r="A386" t="s">
        <v>1749</v>
      </c>
      <c r="B386" t="str">
        <f>"9780817384692"</f>
        <v>9780817384692</v>
      </c>
      <c r="C386" t="s">
        <v>1752</v>
      </c>
      <c r="D386" t="s">
        <v>1750</v>
      </c>
      <c r="E386" t="s">
        <v>269</v>
      </c>
      <c r="F386" t="s">
        <v>556</v>
      </c>
      <c r="H386" t="s">
        <v>29</v>
      </c>
      <c r="I386" t="s">
        <v>1751</v>
      </c>
    </row>
    <row r="387" spans="1:9" x14ac:dyDescent="0.35">
      <c r="A387" t="s">
        <v>1753</v>
      </c>
      <c r="B387" t="str">
        <f>"9780813042633"</f>
        <v>9780813042633</v>
      </c>
      <c r="C387" t="s">
        <v>1756</v>
      </c>
      <c r="D387" t="s">
        <v>1754</v>
      </c>
      <c r="E387" t="s">
        <v>1227</v>
      </c>
      <c r="H387" t="s">
        <v>29</v>
      </c>
      <c r="I387" t="s">
        <v>1755</v>
      </c>
    </row>
    <row r="388" spans="1:9" x14ac:dyDescent="0.35">
      <c r="A388" t="s">
        <v>1757</v>
      </c>
      <c r="B388" t="str">
        <f>"9780813042510"</f>
        <v>9780813042510</v>
      </c>
      <c r="C388" t="s">
        <v>1760</v>
      </c>
      <c r="D388" t="s">
        <v>1758</v>
      </c>
      <c r="E388" t="s">
        <v>1227</v>
      </c>
      <c r="F388" t="s">
        <v>1471</v>
      </c>
      <c r="H388" t="s">
        <v>29</v>
      </c>
      <c r="I388" t="s">
        <v>1759</v>
      </c>
    </row>
    <row r="389" spans="1:9" x14ac:dyDescent="0.35">
      <c r="A389" t="s">
        <v>1761</v>
      </c>
      <c r="B389" t="str">
        <f>"9780813042572"</f>
        <v>9780813042572</v>
      </c>
      <c r="C389" t="s">
        <v>1764</v>
      </c>
      <c r="D389" t="s">
        <v>1762</v>
      </c>
      <c r="E389" t="s">
        <v>1227</v>
      </c>
      <c r="F389" t="s">
        <v>1471</v>
      </c>
      <c r="H389" t="s">
        <v>29</v>
      </c>
      <c r="I389" t="s">
        <v>1763</v>
      </c>
    </row>
    <row r="390" spans="1:9" x14ac:dyDescent="0.35">
      <c r="A390" t="s">
        <v>1765</v>
      </c>
      <c r="B390" t="str">
        <f>"9780813042626"</f>
        <v>9780813042626</v>
      </c>
      <c r="C390" t="s">
        <v>1769</v>
      </c>
      <c r="D390" t="s">
        <v>1767</v>
      </c>
      <c r="E390" t="s">
        <v>1227</v>
      </c>
      <c r="F390" t="s">
        <v>1766</v>
      </c>
      <c r="H390" t="s">
        <v>29</v>
      </c>
      <c r="I390" t="s">
        <v>1768</v>
      </c>
    </row>
    <row r="391" spans="1:9" x14ac:dyDescent="0.35">
      <c r="A391" t="s">
        <v>1770</v>
      </c>
      <c r="B391" t="str">
        <f>"9780810887091"</f>
        <v>9780810887091</v>
      </c>
      <c r="C391" t="s">
        <v>1773</v>
      </c>
      <c r="D391" t="s">
        <v>1771</v>
      </c>
      <c r="E391" t="s">
        <v>478</v>
      </c>
      <c r="H391" t="s">
        <v>82</v>
      </c>
      <c r="I391" t="s">
        <v>1772</v>
      </c>
    </row>
    <row r="392" spans="1:9" x14ac:dyDescent="0.35">
      <c r="A392" t="s">
        <v>1774</v>
      </c>
      <c r="B392" t="str">
        <f>"9781593326500"</f>
        <v>9781593326500</v>
      </c>
      <c r="C392" t="s">
        <v>1779</v>
      </c>
      <c r="D392" t="s">
        <v>1777</v>
      </c>
      <c r="E392" t="s">
        <v>1775</v>
      </c>
      <c r="F392" t="s">
        <v>1776</v>
      </c>
      <c r="H392" t="s">
        <v>233</v>
      </c>
      <c r="I392" t="s">
        <v>1778</v>
      </c>
    </row>
    <row r="393" spans="1:9" x14ac:dyDescent="0.35">
      <c r="A393" t="s">
        <v>1780</v>
      </c>
      <c r="B393" t="str">
        <f>"9780813042558"</f>
        <v>9780813042558</v>
      </c>
      <c r="C393" t="s">
        <v>1783</v>
      </c>
      <c r="D393" t="s">
        <v>1781</v>
      </c>
      <c r="E393" t="s">
        <v>1227</v>
      </c>
      <c r="H393" t="s">
        <v>29</v>
      </c>
      <c r="I393" t="s">
        <v>1782</v>
      </c>
    </row>
    <row r="394" spans="1:9" x14ac:dyDescent="0.35">
      <c r="A394" t="s">
        <v>1784</v>
      </c>
      <c r="B394" t="str">
        <f>"9781847793485"</f>
        <v>9781847793485</v>
      </c>
      <c r="C394" t="s">
        <v>1789</v>
      </c>
      <c r="D394" t="s">
        <v>1787</v>
      </c>
      <c r="E394" t="s">
        <v>1785</v>
      </c>
      <c r="F394" t="s">
        <v>1786</v>
      </c>
      <c r="H394" t="s">
        <v>1614</v>
      </c>
      <c r="I394" t="s">
        <v>1788</v>
      </c>
    </row>
    <row r="395" spans="1:9" x14ac:dyDescent="0.35">
      <c r="A395" t="s">
        <v>1790</v>
      </c>
      <c r="B395" t="str">
        <f>"9780803240865"</f>
        <v>9780803240865</v>
      </c>
      <c r="C395" t="s">
        <v>1793</v>
      </c>
      <c r="D395" t="s">
        <v>1791</v>
      </c>
      <c r="E395" t="s">
        <v>1363</v>
      </c>
      <c r="F395" t="s">
        <v>1153</v>
      </c>
      <c r="H395" t="s">
        <v>29</v>
      </c>
      <c r="I395" t="s">
        <v>1792</v>
      </c>
    </row>
    <row r="396" spans="1:9" x14ac:dyDescent="0.35">
      <c r="A396" t="s">
        <v>1794</v>
      </c>
      <c r="B396" t="str">
        <f>"9780803246164"</f>
        <v>9780803246164</v>
      </c>
      <c r="C396" t="s">
        <v>1797</v>
      </c>
      <c r="D396" t="s">
        <v>1795</v>
      </c>
      <c r="E396" t="s">
        <v>874</v>
      </c>
      <c r="H396" t="s">
        <v>29</v>
      </c>
      <c r="I396" t="s">
        <v>1796</v>
      </c>
    </row>
    <row r="397" spans="1:9" x14ac:dyDescent="0.35">
      <c r="A397" t="s">
        <v>1798</v>
      </c>
      <c r="B397" t="str">
        <f>"9780817386238"</f>
        <v>9780817386238</v>
      </c>
      <c r="C397" t="s">
        <v>1801</v>
      </c>
      <c r="D397" t="s">
        <v>1799</v>
      </c>
      <c r="E397" t="s">
        <v>269</v>
      </c>
      <c r="F397" t="s">
        <v>274</v>
      </c>
      <c r="H397" t="s">
        <v>233</v>
      </c>
      <c r="I397" t="s">
        <v>1800</v>
      </c>
    </row>
    <row r="398" spans="1:9" x14ac:dyDescent="0.35">
      <c r="A398" t="s">
        <v>1802</v>
      </c>
      <c r="B398" t="str">
        <f>"9781611322330"</f>
        <v>9781611322330</v>
      </c>
      <c r="C398" t="s">
        <v>1805</v>
      </c>
      <c r="D398" t="s">
        <v>1803</v>
      </c>
      <c r="E398" t="s">
        <v>9</v>
      </c>
      <c r="H398" t="s">
        <v>29</v>
      </c>
      <c r="I398" t="s">
        <v>1804</v>
      </c>
    </row>
    <row r="399" spans="1:9" x14ac:dyDescent="0.35">
      <c r="A399" t="s">
        <v>1806</v>
      </c>
      <c r="B399" t="str">
        <f>"9781136195396"</f>
        <v>9781136195396</v>
      </c>
      <c r="C399" t="s">
        <v>1809</v>
      </c>
      <c r="D399" t="s">
        <v>1807</v>
      </c>
      <c r="E399" t="s">
        <v>9</v>
      </c>
      <c r="H399" t="s">
        <v>233</v>
      </c>
      <c r="I399" t="s">
        <v>1808</v>
      </c>
    </row>
    <row r="400" spans="1:9" x14ac:dyDescent="0.35">
      <c r="A400" t="s">
        <v>1810</v>
      </c>
      <c r="B400" t="str">
        <f>"9781136193576"</f>
        <v>9781136193576</v>
      </c>
      <c r="C400" t="s">
        <v>1813</v>
      </c>
      <c r="D400" t="s">
        <v>1811</v>
      </c>
      <c r="E400" t="s">
        <v>9</v>
      </c>
      <c r="H400" t="s">
        <v>29</v>
      </c>
      <c r="I400" t="s">
        <v>1812</v>
      </c>
    </row>
    <row r="401" spans="1:9" x14ac:dyDescent="0.35">
      <c r="A401" t="s">
        <v>1814</v>
      </c>
      <c r="B401" t="str">
        <f>"9780807837528"</f>
        <v>9780807837528</v>
      </c>
      <c r="C401" t="s">
        <v>1817</v>
      </c>
      <c r="D401" t="s">
        <v>1815</v>
      </c>
      <c r="E401" t="s">
        <v>438</v>
      </c>
      <c r="H401" t="s">
        <v>29</v>
      </c>
      <c r="I401" t="s">
        <v>1816</v>
      </c>
    </row>
    <row r="402" spans="1:9" x14ac:dyDescent="0.35">
      <c r="A402" t="s">
        <v>1818</v>
      </c>
      <c r="B402" t="str">
        <f>"9780807837511"</f>
        <v>9780807837511</v>
      </c>
      <c r="C402" t="s">
        <v>1822</v>
      </c>
      <c r="D402" t="s">
        <v>1819</v>
      </c>
      <c r="E402" t="s">
        <v>438</v>
      </c>
      <c r="H402" t="s">
        <v>1820</v>
      </c>
      <c r="I402" t="s">
        <v>1821</v>
      </c>
    </row>
    <row r="403" spans="1:9" x14ac:dyDescent="0.35">
      <c r="A403" t="s">
        <v>1823</v>
      </c>
      <c r="B403" t="str">
        <f>"9781442220690"</f>
        <v>9781442220690</v>
      </c>
      <c r="C403" t="s">
        <v>1827</v>
      </c>
      <c r="D403" t="s">
        <v>1824</v>
      </c>
      <c r="E403" t="s">
        <v>948</v>
      </c>
      <c r="H403" t="s">
        <v>1825</v>
      </c>
      <c r="I403" t="s">
        <v>1826</v>
      </c>
    </row>
    <row r="404" spans="1:9" x14ac:dyDescent="0.35">
      <c r="A404" t="s">
        <v>1828</v>
      </c>
      <c r="B404" t="str">
        <f>"9781443827805"</f>
        <v>9781443827805</v>
      </c>
      <c r="C404" t="s">
        <v>1832</v>
      </c>
      <c r="D404" t="s">
        <v>1830</v>
      </c>
      <c r="E404" t="s">
        <v>1829</v>
      </c>
      <c r="H404" t="s">
        <v>459</v>
      </c>
      <c r="I404" t="s">
        <v>1831</v>
      </c>
    </row>
    <row r="405" spans="1:9" x14ac:dyDescent="0.35">
      <c r="A405" t="s">
        <v>1833</v>
      </c>
      <c r="B405" t="str">
        <f>"9789004242197"</f>
        <v>9789004242197</v>
      </c>
      <c r="C405" t="s">
        <v>1836</v>
      </c>
      <c r="D405" t="s">
        <v>1834</v>
      </c>
      <c r="E405" t="s">
        <v>483</v>
      </c>
      <c r="F405" t="s">
        <v>1123</v>
      </c>
      <c r="H405" t="s">
        <v>147</v>
      </c>
      <c r="I405" t="s">
        <v>1835</v>
      </c>
    </row>
    <row r="406" spans="1:9" x14ac:dyDescent="0.35">
      <c r="A406" t="s">
        <v>1837</v>
      </c>
      <c r="B406" t="str">
        <f>"9781584659075"</f>
        <v>9781584659075</v>
      </c>
      <c r="C406" t="s">
        <v>1840</v>
      </c>
      <c r="D406" t="s">
        <v>76</v>
      </c>
      <c r="E406" t="s">
        <v>1838</v>
      </c>
      <c r="H406" t="s">
        <v>1296</v>
      </c>
      <c r="I406" t="s">
        <v>1839</v>
      </c>
    </row>
    <row r="407" spans="1:9" x14ac:dyDescent="0.35">
      <c r="A407" t="s">
        <v>1841</v>
      </c>
      <c r="B407" t="str">
        <f>"9781136188619"</f>
        <v>9781136188619</v>
      </c>
      <c r="C407" t="s">
        <v>1845</v>
      </c>
      <c r="D407" t="s">
        <v>1843</v>
      </c>
      <c r="E407" t="s">
        <v>9</v>
      </c>
      <c r="F407" t="s">
        <v>1842</v>
      </c>
      <c r="H407" t="s">
        <v>233</v>
      </c>
      <c r="I407" t="s">
        <v>1844</v>
      </c>
    </row>
    <row r="408" spans="1:9" x14ac:dyDescent="0.35">
      <c r="A408" t="s">
        <v>1846</v>
      </c>
      <c r="B408" t="str">
        <f>"9781136331169"</f>
        <v>9781136331169</v>
      </c>
      <c r="C408" t="s">
        <v>1850</v>
      </c>
      <c r="D408" t="s">
        <v>1848</v>
      </c>
      <c r="E408" t="s">
        <v>9</v>
      </c>
      <c r="F408" t="s">
        <v>1847</v>
      </c>
      <c r="H408" t="s">
        <v>111</v>
      </c>
      <c r="I408" t="s">
        <v>1849</v>
      </c>
    </row>
    <row r="409" spans="1:9" x14ac:dyDescent="0.35">
      <c r="A409" t="s">
        <v>1851</v>
      </c>
      <c r="B409" t="str">
        <f>"9780857457677"</f>
        <v>9780857457677</v>
      </c>
      <c r="C409" t="s">
        <v>1854</v>
      </c>
      <c r="D409" t="s">
        <v>1852</v>
      </c>
      <c r="E409" t="s">
        <v>1128</v>
      </c>
      <c r="H409" t="s">
        <v>82</v>
      </c>
      <c r="I409" t="s">
        <v>1853</v>
      </c>
    </row>
    <row r="410" spans="1:9" x14ac:dyDescent="0.35">
      <c r="A410" t="s">
        <v>1855</v>
      </c>
      <c r="B410" t="str">
        <f>"9781136196386"</f>
        <v>9781136196386</v>
      </c>
      <c r="C410" t="s">
        <v>1857</v>
      </c>
      <c r="D410" t="s">
        <v>469</v>
      </c>
      <c r="E410" t="s">
        <v>9</v>
      </c>
      <c r="H410" t="s">
        <v>29</v>
      </c>
      <c r="I410" t="s">
        <v>1856</v>
      </c>
    </row>
    <row r="411" spans="1:9" x14ac:dyDescent="0.35">
      <c r="A411" t="s">
        <v>1858</v>
      </c>
      <c r="B411" t="str">
        <f>"9781603444675"</f>
        <v>9781603444675</v>
      </c>
      <c r="C411" t="s">
        <v>1863</v>
      </c>
      <c r="D411" t="s">
        <v>1861</v>
      </c>
      <c r="E411" t="s">
        <v>1859</v>
      </c>
      <c r="F411" t="s">
        <v>1860</v>
      </c>
      <c r="H411" t="s">
        <v>29</v>
      </c>
      <c r="I411" t="s">
        <v>1862</v>
      </c>
    </row>
    <row r="412" spans="1:9" x14ac:dyDescent="0.35">
      <c r="A412" t="s">
        <v>1864</v>
      </c>
      <c r="B412" t="str">
        <f>"9780739177853"</f>
        <v>9780739177853</v>
      </c>
      <c r="C412" t="s">
        <v>1868</v>
      </c>
      <c r="D412" t="s">
        <v>1865</v>
      </c>
      <c r="E412" t="s">
        <v>975</v>
      </c>
      <c r="H412" t="s">
        <v>1866</v>
      </c>
      <c r="I412" t="s">
        <v>1867</v>
      </c>
    </row>
    <row r="413" spans="1:9" x14ac:dyDescent="0.35">
      <c r="A413" t="s">
        <v>1869</v>
      </c>
      <c r="B413" t="str">
        <f>"9781136224768"</f>
        <v>9781136224768</v>
      </c>
      <c r="C413" t="s">
        <v>1872</v>
      </c>
      <c r="D413" t="s">
        <v>1870</v>
      </c>
      <c r="E413" t="s">
        <v>9</v>
      </c>
      <c r="F413" t="s">
        <v>1098</v>
      </c>
      <c r="H413" t="s">
        <v>851</v>
      </c>
      <c r="I413" t="s">
        <v>1871</v>
      </c>
    </row>
    <row r="414" spans="1:9" x14ac:dyDescent="0.35">
      <c r="A414" t="s">
        <v>1873</v>
      </c>
      <c r="B414" t="str">
        <f>"9780826352514"</f>
        <v>9780826352514</v>
      </c>
      <c r="C414" t="s">
        <v>1876</v>
      </c>
      <c r="D414" t="s">
        <v>1182</v>
      </c>
      <c r="E414" t="s">
        <v>1874</v>
      </c>
      <c r="H414" t="s">
        <v>23</v>
      </c>
      <c r="I414" t="s">
        <v>1875</v>
      </c>
    </row>
    <row r="415" spans="1:9" x14ac:dyDescent="0.35">
      <c r="A415" t="s">
        <v>1877</v>
      </c>
      <c r="B415" t="str">
        <f>"9780826351586"</f>
        <v>9780826351586</v>
      </c>
      <c r="C415" t="s">
        <v>1880</v>
      </c>
      <c r="D415" t="s">
        <v>1878</v>
      </c>
      <c r="E415" t="s">
        <v>1874</v>
      </c>
      <c r="H415" t="s">
        <v>29</v>
      </c>
      <c r="I415" t="s">
        <v>1879</v>
      </c>
    </row>
    <row r="416" spans="1:9" x14ac:dyDescent="0.35">
      <c r="A416" t="s">
        <v>1881</v>
      </c>
      <c r="B416" t="str">
        <f>"9780826338815"</f>
        <v>9780826338815</v>
      </c>
      <c r="C416" t="s">
        <v>1884</v>
      </c>
      <c r="D416" t="s">
        <v>1882</v>
      </c>
      <c r="E416" t="s">
        <v>1874</v>
      </c>
      <c r="H416" t="s">
        <v>29</v>
      </c>
      <c r="I416" t="s">
        <v>1883</v>
      </c>
    </row>
    <row r="417" spans="1:9" x14ac:dyDescent="0.35">
      <c r="A417" t="s">
        <v>1885</v>
      </c>
      <c r="B417" t="str">
        <f>"9780826352224"</f>
        <v>9780826352224</v>
      </c>
      <c r="C417" t="s">
        <v>1888</v>
      </c>
      <c r="D417" t="s">
        <v>1886</v>
      </c>
      <c r="E417" t="s">
        <v>1874</v>
      </c>
      <c r="H417" t="s">
        <v>29</v>
      </c>
      <c r="I417" t="s">
        <v>1887</v>
      </c>
    </row>
    <row r="418" spans="1:9" x14ac:dyDescent="0.35">
      <c r="A418" t="s">
        <v>1889</v>
      </c>
      <c r="B418" t="str">
        <f>"9780813045023"</f>
        <v>9780813045023</v>
      </c>
      <c r="C418" t="s">
        <v>1892</v>
      </c>
      <c r="D418" t="s">
        <v>1890</v>
      </c>
      <c r="E418" t="s">
        <v>1227</v>
      </c>
      <c r="H418" t="s">
        <v>265</v>
      </c>
      <c r="I418" t="s">
        <v>1891</v>
      </c>
    </row>
    <row r="419" spans="1:9" x14ac:dyDescent="0.35">
      <c r="A419" t="s">
        <v>1893</v>
      </c>
      <c r="B419" t="str">
        <f>"9780826346391"</f>
        <v>9780826346391</v>
      </c>
      <c r="C419" t="s">
        <v>1896</v>
      </c>
      <c r="D419" t="s">
        <v>1894</v>
      </c>
      <c r="E419" t="s">
        <v>1874</v>
      </c>
      <c r="H419" t="s">
        <v>29</v>
      </c>
      <c r="I419" t="s">
        <v>1895</v>
      </c>
    </row>
    <row r="420" spans="1:9" x14ac:dyDescent="0.35">
      <c r="A420" t="s">
        <v>1897</v>
      </c>
      <c r="B420" t="str">
        <f>"9781614510581"</f>
        <v>9781614510581</v>
      </c>
      <c r="C420" t="s">
        <v>1901</v>
      </c>
      <c r="D420" t="s">
        <v>1899</v>
      </c>
      <c r="E420" t="s">
        <v>144</v>
      </c>
      <c r="F420" t="s">
        <v>1898</v>
      </c>
      <c r="H420" t="s">
        <v>147</v>
      </c>
      <c r="I420" t="s">
        <v>1900</v>
      </c>
    </row>
    <row r="421" spans="1:9" x14ac:dyDescent="0.35">
      <c r="A421" t="s">
        <v>1902</v>
      </c>
      <c r="B421" t="str">
        <f>"9781742246123"</f>
        <v>9781742246123</v>
      </c>
      <c r="C421" t="s">
        <v>1906</v>
      </c>
      <c r="D421" t="s">
        <v>1903</v>
      </c>
      <c r="E421" t="s">
        <v>1067</v>
      </c>
      <c r="H421" t="s">
        <v>1904</v>
      </c>
      <c r="I421" t="s">
        <v>1905</v>
      </c>
    </row>
    <row r="422" spans="1:9" x14ac:dyDescent="0.35">
      <c r="A422" t="s">
        <v>1907</v>
      </c>
      <c r="B422" t="str">
        <f>"9789004232655"</f>
        <v>9789004232655</v>
      </c>
      <c r="C422" t="s">
        <v>1911</v>
      </c>
      <c r="D422" t="s">
        <v>1909</v>
      </c>
      <c r="E422" t="s">
        <v>483</v>
      </c>
      <c r="F422" t="s">
        <v>1908</v>
      </c>
      <c r="H422" t="s">
        <v>1820</v>
      </c>
      <c r="I422" t="s">
        <v>1910</v>
      </c>
    </row>
    <row r="423" spans="1:9" x14ac:dyDescent="0.35">
      <c r="A423" t="s">
        <v>1912</v>
      </c>
      <c r="B423" t="str">
        <f>"9780826352750"</f>
        <v>9780826352750</v>
      </c>
      <c r="C423" t="s">
        <v>1915</v>
      </c>
      <c r="D423" t="s">
        <v>1913</v>
      </c>
      <c r="E423" t="s">
        <v>1874</v>
      </c>
      <c r="H423" t="s">
        <v>636</v>
      </c>
      <c r="I423" t="s">
        <v>1914</v>
      </c>
    </row>
    <row r="424" spans="1:9" x14ac:dyDescent="0.35">
      <c r="A424" t="s">
        <v>1916</v>
      </c>
      <c r="B424" t="str">
        <f>"9781107306103"</f>
        <v>9781107306103</v>
      </c>
      <c r="C424" t="s">
        <v>1921</v>
      </c>
      <c r="D424" t="s">
        <v>1918</v>
      </c>
      <c r="E424" t="s">
        <v>53</v>
      </c>
      <c r="F424" t="s">
        <v>1917</v>
      </c>
      <c r="H424" t="s">
        <v>1919</v>
      </c>
      <c r="I424" t="s">
        <v>1920</v>
      </c>
    </row>
    <row r="425" spans="1:9" x14ac:dyDescent="0.35">
      <c r="A425" t="s">
        <v>1922</v>
      </c>
      <c r="B425" t="str">
        <f>"9783110275889"</f>
        <v>9783110275889</v>
      </c>
      <c r="C425" t="s">
        <v>1927</v>
      </c>
      <c r="D425" t="s">
        <v>1924</v>
      </c>
      <c r="E425" t="s">
        <v>144</v>
      </c>
      <c r="F425" t="s">
        <v>1923</v>
      </c>
      <c r="H425" t="s">
        <v>1925</v>
      </c>
      <c r="I425" t="s">
        <v>1926</v>
      </c>
    </row>
    <row r="426" spans="1:9" x14ac:dyDescent="0.35">
      <c r="A426" t="s">
        <v>1928</v>
      </c>
      <c r="B426" t="str">
        <f>"9780826336507"</f>
        <v>9780826336507</v>
      </c>
      <c r="C426" t="s">
        <v>1931</v>
      </c>
      <c r="D426" t="s">
        <v>1929</v>
      </c>
      <c r="E426" t="s">
        <v>1874</v>
      </c>
      <c r="H426" t="s">
        <v>29</v>
      </c>
      <c r="I426" t="s">
        <v>1930</v>
      </c>
    </row>
    <row r="427" spans="1:9" x14ac:dyDescent="0.35">
      <c r="A427" t="s">
        <v>1932</v>
      </c>
      <c r="B427" t="str">
        <f>"9780826339478"</f>
        <v>9780826339478</v>
      </c>
      <c r="C427" t="s">
        <v>1935</v>
      </c>
      <c r="D427" t="s">
        <v>1933</v>
      </c>
      <c r="E427" t="s">
        <v>1874</v>
      </c>
      <c r="H427" t="s">
        <v>29</v>
      </c>
      <c r="I427" t="s">
        <v>1934</v>
      </c>
    </row>
    <row r="428" spans="1:9" x14ac:dyDescent="0.35">
      <c r="A428" t="s">
        <v>1936</v>
      </c>
      <c r="B428" t="str">
        <f>"9780826350749"</f>
        <v>9780826350749</v>
      </c>
      <c r="C428" t="s">
        <v>1939</v>
      </c>
      <c r="D428" t="s">
        <v>1937</v>
      </c>
      <c r="E428" t="s">
        <v>1874</v>
      </c>
      <c r="H428" t="s">
        <v>29</v>
      </c>
      <c r="I428" t="s">
        <v>1938</v>
      </c>
    </row>
    <row r="429" spans="1:9" x14ac:dyDescent="0.35">
      <c r="A429" t="s">
        <v>1940</v>
      </c>
      <c r="B429" t="str">
        <f>"9780826348326"</f>
        <v>9780826348326</v>
      </c>
      <c r="C429" t="s">
        <v>1943</v>
      </c>
      <c r="D429" t="s">
        <v>1941</v>
      </c>
      <c r="E429" t="s">
        <v>1874</v>
      </c>
      <c r="H429" t="s">
        <v>1866</v>
      </c>
      <c r="I429" t="s">
        <v>1942</v>
      </c>
    </row>
    <row r="430" spans="1:9" x14ac:dyDescent="0.35">
      <c r="A430" t="s">
        <v>1944</v>
      </c>
      <c r="B430" t="str">
        <f>"9780826348999"</f>
        <v>9780826348999</v>
      </c>
      <c r="C430" t="s">
        <v>1948</v>
      </c>
      <c r="D430" t="s">
        <v>1945</v>
      </c>
      <c r="E430" t="s">
        <v>1874</v>
      </c>
      <c r="H430" t="s">
        <v>1946</v>
      </c>
      <c r="I430" t="s">
        <v>1947</v>
      </c>
    </row>
    <row r="431" spans="1:9" x14ac:dyDescent="0.35">
      <c r="A431" t="s">
        <v>1949</v>
      </c>
      <c r="B431" t="str">
        <f>"9780826348029"</f>
        <v>9780826348029</v>
      </c>
      <c r="C431" t="s">
        <v>1952</v>
      </c>
      <c r="D431" t="s">
        <v>1950</v>
      </c>
      <c r="E431" t="s">
        <v>1874</v>
      </c>
      <c r="H431" t="s">
        <v>1248</v>
      </c>
      <c r="I431" t="s">
        <v>1951</v>
      </c>
    </row>
    <row r="432" spans="1:9" x14ac:dyDescent="0.35">
      <c r="A432" t="s">
        <v>1953</v>
      </c>
      <c r="B432" t="str">
        <f>"9780826348661"</f>
        <v>9780826348661</v>
      </c>
      <c r="C432" t="s">
        <v>1956</v>
      </c>
      <c r="D432" t="s">
        <v>1954</v>
      </c>
      <c r="E432" t="s">
        <v>1874</v>
      </c>
      <c r="H432" t="s">
        <v>29</v>
      </c>
      <c r="I432" t="s">
        <v>1955</v>
      </c>
    </row>
    <row r="433" spans="1:9" x14ac:dyDescent="0.35">
      <c r="A433" t="s">
        <v>1957</v>
      </c>
      <c r="B433" t="str">
        <f>"9780826348753"</f>
        <v>9780826348753</v>
      </c>
      <c r="C433" t="s">
        <v>1960</v>
      </c>
      <c r="D433" t="s">
        <v>1958</v>
      </c>
      <c r="E433" t="s">
        <v>1874</v>
      </c>
      <c r="H433" t="s">
        <v>140</v>
      </c>
      <c r="I433" t="s">
        <v>1959</v>
      </c>
    </row>
    <row r="434" spans="1:9" x14ac:dyDescent="0.35">
      <c r="A434" t="s">
        <v>1961</v>
      </c>
      <c r="B434" t="str">
        <f>"9780826350947"</f>
        <v>9780826350947</v>
      </c>
      <c r="C434" t="s">
        <v>1964</v>
      </c>
      <c r="D434" t="s">
        <v>1962</v>
      </c>
      <c r="E434" t="s">
        <v>1874</v>
      </c>
      <c r="H434" t="s">
        <v>29</v>
      </c>
      <c r="I434" t="s">
        <v>1963</v>
      </c>
    </row>
    <row r="435" spans="1:9" x14ac:dyDescent="0.35">
      <c r="A435" t="s">
        <v>1965</v>
      </c>
      <c r="B435" t="str">
        <f>"9780826348692"</f>
        <v>9780826348692</v>
      </c>
      <c r="C435" t="s">
        <v>1968</v>
      </c>
      <c r="D435" t="s">
        <v>1966</v>
      </c>
      <c r="E435" t="s">
        <v>1874</v>
      </c>
      <c r="H435" t="s">
        <v>29</v>
      </c>
      <c r="I435" t="s">
        <v>1967</v>
      </c>
    </row>
    <row r="436" spans="1:9" x14ac:dyDescent="0.35">
      <c r="A436" t="s">
        <v>1969</v>
      </c>
      <c r="B436" t="str">
        <f>"9780826340689"</f>
        <v>9780826340689</v>
      </c>
      <c r="C436" t="s">
        <v>1972</v>
      </c>
      <c r="D436" t="s">
        <v>1970</v>
      </c>
      <c r="E436" t="s">
        <v>1874</v>
      </c>
      <c r="H436" t="s">
        <v>82</v>
      </c>
      <c r="I436" t="s">
        <v>1971</v>
      </c>
    </row>
    <row r="437" spans="1:9" x14ac:dyDescent="0.35">
      <c r="A437" t="s">
        <v>1973</v>
      </c>
      <c r="B437" t="str">
        <f>"9780826349170"</f>
        <v>9780826349170</v>
      </c>
      <c r="C437" t="s">
        <v>1976</v>
      </c>
      <c r="D437" t="s">
        <v>1974</v>
      </c>
      <c r="E437" t="s">
        <v>1874</v>
      </c>
      <c r="H437" t="s">
        <v>23</v>
      </c>
      <c r="I437" t="s">
        <v>1975</v>
      </c>
    </row>
    <row r="438" spans="1:9" x14ac:dyDescent="0.35">
      <c r="A438" t="s">
        <v>1977</v>
      </c>
      <c r="B438" t="str">
        <f>"9780826342942"</f>
        <v>9780826342942</v>
      </c>
      <c r="C438" t="s">
        <v>1980</v>
      </c>
      <c r="D438" t="s">
        <v>1978</v>
      </c>
      <c r="E438" t="s">
        <v>1874</v>
      </c>
      <c r="H438" t="s">
        <v>29</v>
      </c>
      <c r="I438" t="s">
        <v>1979</v>
      </c>
    </row>
    <row r="439" spans="1:9" x14ac:dyDescent="0.35">
      <c r="A439" t="s">
        <v>1981</v>
      </c>
      <c r="B439" t="str">
        <f>"9780826351173"</f>
        <v>9780826351173</v>
      </c>
      <c r="C439" t="s">
        <v>1984</v>
      </c>
      <c r="D439" t="s">
        <v>1982</v>
      </c>
      <c r="E439" t="s">
        <v>1874</v>
      </c>
      <c r="H439" t="s">
        <v>29</v>
      </c>
      <c r="I439" t="s">
        <v>1983</v>
      </c>
    </row>
    <row r="440" spans="1:9" x14ac:dyDescent="0.35">
      <c r="A440" t="s">
        <v>1985</v>
      </c>
      <c r="B440" t="str">
        <f>"9780826344175"</f>
        <v>9780826344175</v>
      </c>
      <c r="C440" t="s">
        <v>1989</v>
      </c>
      <c r="D440" t="s">
        <v>1987</v>
      </c>
      <c r="E440" t="s">
        <v>1874</v>
      </c>
      <c r="F440" t="s">
        <v>1986</v>
      </c>
      <c r="H440" t="s">
        <v>29</v>
      </c>
      <c r="I440" t="s">
        <v>1988</v>
      </c>
    </row>
    <row r="441" spans="1:9" x14ac:dyDescent="0.35">
      <c r="A441" t="s">
        <v>1990</v>
      </c>
      <c r="B441" t="str">
        <f>"9780826349934"</f>
        <v>9780826349934</v>
      </c>
      <c r="C441" t="s">
        <v>1993</v>
      </c>
      <c r="D441" t="s">
        <v>1991</v>
      </c>
      <c r="E441" t="s">
        <v>1874</v>
      </c>
      <c r="H441" t="s">
        <v>29</v>
      </c>
      <c r="I441" t="s">
        <v>1992</v>
      </c>
    </row>
    <row r="442" spans="1:9" x14ac:dyDescent="0.35">
      <c r="A442" t="s">
        <v>1994</v>
      </c>
      <c r="B442" t="str">
        <f>"9780826350596"</f>
        <v>9780826350596</v>
      </c>
      <c r="C442" t="s">
        <v>1997</v>
      </c>
      <c r="D442" t="s">
        <v>1995</v>
      </c>
      <c r="E442" t="s">
        <v>1874</v>
      </c>
      <c r="H442" t="s">
        <v>44</v>
      </c>
      <c r="I442" t="s">
        <v>1996</v>
      </c>
    </row>
    <row r="443" spans="1:9" x14ac:dyDescent="0.35">
      <c r="A443" t="s">
        <v>1998</v>
      </c>
      <c r="B443" t="str">
        <f>"9780826343277"</f>
        <v>9780826343277</v>
      </c>
      <c r="C443" t="s">
        <v>2001</v>
      </c>
      <c r="D443" t="s">
        <v>1999</v>
      </c>
      <c r="E443" t="s">
        <v>1874</v>
      </c>
      <c r="H443" t="s">
        <v>29</v>
      </c>
      <c r="I443" t="s">
        <v>2000</v>
      </c>
    </row>
    <row r="444" spans="1:9" x14ac:dyDescent="0.35">
      <c r="A444" t="s">
        <v>2002</v>
      </c>
      <c r="B444" t="str">
        <f>"9780826338709"</f>
        <v>9780826338709</v>
      </c>
      <c r="C444" t="s">
        <v>2005</v>
      </c>
      <c r="D444" t="s">
        <v>2003</v>
      </c>
      <c r="E444" t="s">
        <v>1874</v>
      </c>
      <c r="H444" t="s">
        <v>111</v>
      </c>
      <c r="I444" t="s">
        <v>2004</v>
      </c>
    </row>
    <row r="445" spans="1:9" x14ac:dyDescent="0.35">
      <c r="A445" t="s">
        <v>2006</v>
      </c>
      <c r="B445" t="str">
        <f>"9780826342973"</f>
        <v>9780826342973</v>
      </c>
      <c r="C445" t="s">
        <v>2009</v>
      </c>
      <c r="D445" t="s">
        <v>2007</v>
      </c>
      <c r="E445" t="s">
        <v>1874</v>
      </c>
      <c r="H445" t="s">
        <v>29</v>
      </c>
      <c r="I445" t="s">
        <v>2008</v>
      </c>
    </row>
    <row r="446" spans="1:9" x14ac:dyDescent="0.35">
      <c r="A446" t="s">
        <v>2010</v>
      </c>
      <c r="B446" t="str">
        <f>"9780826343390"</f>
        <v>9780826343390</v>
      </c>
      <c r="C446" t="s">
        <v>2013</v>
      </c>
      <c r="D446" t="s">
        <v>2011</v>
      </c>
      <c r="E446" t="s">
        <v>1874</v>
      </c>
      <c r="H446" t="s">
        <v>29</v>
      </c>
      <c r="I446" t="s">
        <v>2012</v>
      </c>
    </row>
    <row r="447" spans="1:9" x14ac:dyDescent="0.35">
      <c r="A447" t="s">
        <v>2014</v>
      </c>
      <c r="B447" t="str">
        <f>"9780826351234"</f>
        <v>9780826351234</v>
      </c>
      <c r="C447" t="s">
        <v>2017</v>
      </c>
      <c r="D447" t="s">
        <v>2015</v>
      </c>
      <c r="E447" t="s">
        <v>1874</v>
      </c>
      <c r="H447" t="s">
        <v>233</v>
      </c>
      <c r="I447" t="s">
        <v>2016</v>
      </c>
    </row>
    <row r="448" spans="1:9" x14ac:dyDescent="0.35">
      <c r="A448" t="s">
        <v>2018</v>
      </c>
      <c r="B448" t="str">
        <f>"9780826349835"</f>
        <v>9780826349835</v>
      </c>
      <c r="C448" t="s">
        <v>2021</v>
      </c>
      <c r="D448" t="s">
        <v>2019</v>
      </c>
      <c r="E448" t="s">
        <v>1874</v>
      </c>
      <c r="H448" t="s">
        <v>29</v>
      </c>
      <c r="I448" t="s">
        <v>2020</v>
      </c>
    </row>
    <row r="449" spans="1:9" x14ac:dyDescent="0.35">
      <c r="A449" t="s">
        <v>2022</v>
      </c>
      <c r="B449" t="str">
        <f>"9780826347657"</f>
        <v>9780826347657</v>
      </c>
      <c r="C449" t="s">
        <v>2025</v>
      </c>
      <c r="D449" t="s">
        <v>2023</v>
      </c>
      <c r="E449" t="s">
        <v>1874</v>
      </c>
      <c r="H449" t="s">
        <v>29</v>
      </c>
      <c r="I449" t="s">
        <v>2024</v>
      </c>
    </row>
    <row r="450" spans="1:9" x14ac:dyDescent="0.35">
      <c r="A450" t="s">
        <v>2026</v>
      </c>
      <c r="B450" t="str">
        <f>"9780826340719"</f>
        <v>9780826340719</v>
      </c>
      <c r="C450" t="s">
        <v>2029</v>
      </c>
      <c r="D450" t="s">
        <v>2027</v>
      </c>
      <c r="E450" t="s">
        <v>1874</v>
      </c>
      <c r="H450" t="s">
        <v>29</v>
      </c>
      <c r="I450" t="s">
        <v>2028</v>
      </c>
    </row>
    <row r="451" spans="1:9" x14ac:dyDescent="0.35">
      <c r="A451" t="s">
        <v>2030</v>
      </c>
      <c r="B451" t="str">
        <f>"9780826349330"</f>
        <v>9780826349330</v>
      </c>
      <c r="C451" t="s">
        <v>2033</v>
      </c>
      <c r="D451" t="s">
        <v>2031</v>
      </c>
      <c r="E451" t="s">
        <v>1874</v>
      </c>
      <c r="H451" t="s">
        <v>265</v>
      </c>
      <c r="I451" t="s">
        <v>2032</v>
      </c>
    </row>
    <row r="452" spans="1:9" x14ac:dyDescent="0.35">
      <c r="A452" t="s">
        <v>2034</v>
      </c>
      <c r="B452" t="str">
        <f>"9780826332899"</f>
        <v>9780826332899</v>
      </c>
      <c r="C452" t="s">
        <v>2037</v>
      </c>
      <c r="D452" t="s">
        <v>2035</v>
      </c>
      <c r="E452" t="s">
        <v>1874</v>
      </c>
      <c r="H452" t="s">
        <v>140</v>
      </c>
      <c r="I452" t="s">
        <v>2036</v>
      </c>
    </row>
    <row r="453" spans="1:9" x14ac:dyDescent="0.35">
      <c r="A453" t="s">
        <v>2038</v>
      </c>
      <c r="B453" t="str">
        <f>"9780826348524"</f>
        <v>9780826348524</v>
      </c>
      <c r="C453" t="s">
        <v>2041</v>
      </c>
      <c r="D453" t="s">
        <v>2039</v>
      </c>
      <c r="E453" t="s">
        <v>1874</v>
      </c>
      <c r="H453" t="s">
        <v>265</v>
      </c>
      <c r="I453" t="s">
        <v>2040</v>
      </c>
    </row>
    <row r="454" spans="1:9" x14ac:dyDescent="0.35">
      <c r="A454" t="s">
        <v>2042</v>
      </c>
      <c r="B454" t="str">
        <f>"9780813043722"</f>
        <v>9780813043722</v>
      </c>
      <c r="C454" t="s">
        <v>2045</v>
      </c>
      <c r="D454" t="s">
        <v>2043</v>
      </c>
      <c r="E454" t="s">
        <v>1227</v>
      </c>
      <c r="H454" t="s">
        <v>29</v>
      </c>
      <c r="I454" t="s">
        <v>2044</v>
      </c>
    </row>
    <row r="455" spans="1:9" x14ac:dyDescent="0.35">
      <c r="A455" t="s">
        <v>2046</v>
      </c>
      <c r="B455" t="str">
        <f>"9780803246225"</f>
        <v>9780803246225</v>
      </c>
      <c r="C455" t="s">
        <v>2050</v>
      </c>
      <c r="D455" t="s">
        <v>2048</v>
      </c>
      <c r="E455" t="s">
        <v>1363</v>
      </c>
      <c r="F455" t="s">
        <v>2047</v>
      </c>
      <c r="H455" t="s">
        <v>23</v>
      </c>
      <c r="I455" t="s">
        <v>2049</v>
      </c>
    </row>
    <row r="456" spans="1:9" x14ac:dyDescent="0.35">
      <c r="A456" t="s">
        <v>2051</v>
      </c>
      <c r="B456" t="str">
        <f>"9780759121027"</f>
        <v>9780759121027</v>
      </c>
      <c r="C456" t="s">
        <v>2054</v>
      </c>
      <c r="D456" t="s">
        <v>2052</v>
      </c>
      <c r="E456" t="s">
        <v>456</v>
      </c>
      <c r="F456" t="s">
        <v>468</v>
      </c>
      <c r="H456" t="s">
        <v>29</v>
      </c>
      <c r="I456" t="s">
        <v>2053</v>
      </c>
    </row>
    <row r="457" spans="1:9" x14ac:dyDescent="0.35">
      <c r="A457" t="s">
        <v>2055</v>
      </c>
      <c r="B457" t="str">
        <f>"9781848139985"</f>
        <v>9781848139985</v>
      </c>
      <c r="C457" t="s">
        <v>2058</v>
      </c>
      <c r="D457" t="s">
        <v>2056</v>
      </c>
      <c r="E457" t="s">
        <v>602</v>
      </c>
      <c r="H457" t="s">
        <v>55</v>
      </c>
      <c r="I457" t="s">
        <v>2057</v>
      </c>
    </row>
    <row r="458" spans="1:9" x14ac:dyDescent="0.35">
      <c r="A458" t="s">
        <v>2059</v>
      </c>
      <c r="B458" t="str">
        <f>"9780816681761"</f>
        <v>9780816681761</v>
      </c>
      <c r="C458" t="s">
        <v>2062</v>
      </c>
      <c r="D458" t="s">
        <v>2060</v>
      </c>
      <c r="E458" t="s">
        <v>119</v>
      </c>
      <c r="H458" t="s">
        <v>29</v>
      </c>
      <c r="I458" t="s">
        <v>2061</v>
      </c>
    </row>
    <row r="459" spans="1:9" x14ac:dyDescent="0.35">
      <c r="A459" t="s">
        <v>2063</v>
      </c>
      <c r="B459" t="str">
        <f>"9780816681952"</f>
        <v>9780816681952</v>
      </c>
      <c r="C459" t="s">
        <v>2066</v>
      </c>
      <c r="D459" t="s">
        <v>2064</v>
      </c>
      <c r="E459" t="s">
        <v>119</v>
      </c>
      <c r="H459" t="s">
        <v>82</v>
      </c>
      <c r="I459" t="s">
        <v>2065</v>
      </c>
    </row>
    <row r="460" spans="1:9" x14ac:dyDescent="0.35">
      <c r="A460" t="s">
        <v>2067</v>
      </c>
      <c r="B460" t="str">
        <f>"9781439888957"</f>
        <v>9781439888957</v>
      </c>
      <c r="C460" t="s">
        <v>2070</v>
      </c>
      <c r="D460" t="s">
        <v>2068</v>
      </c>
      <c r="E460" t="s">
        <v>9</v>
      </c>
      <c r="H460" t="s">
        <v>111</v>
      </c>
      <c r="I460" t="s">
        <v>2069</v>
      </c>
    </row>
    <row r="461" spans="1:9" x14ac:dyDescent="0.35">
      <c r="A461" t="s">
        <v>2071</v>
      </c>
      <c r="B461" t="str">
        <f>"9780759120280"</f>
        <v>9780759120280</v>
      </c>
      <c r="C461" t="s">
        <v>2074</v>
      </c>
      <c r="D461" t="s">
        <v>2072</v>
      </c>
      <c r="E461" t="s">
        <v>456</v>
      </c>
      <c r="H461" t="s">
        <v>49</v>
      </c>
      <c r="I461" t="s">
        <v>2073</v>
      </c>
    </row>
    <row r="462" spans="1:9" x14ac:dyDescent="0.35">
      <c r="A462" t="s">
        <v>2075</v>
      </c>
      <c r="B462" t="str">
        <f>"9780520955226"</f>
        <v>9780520955226</v>
      </c>
      <c r="C462" t="s">
        <v>2078</v>
      </c>
      <c r="D462" t="s">
        <v>2076</v>
      </c>
      <c r="E462" t="s">
        <v>42</v>
      </c>
      <c r="H462" t="s">
        <v>29</v>
      </c>
      <c r="I462" t="s">
        <v>2077</v>
      </c>
    </row>
    <row r="463" spans="1:9" x14ac:dyDescent="0.35">
      <c r="A463" t="s">
        <v>2079</v>
      </c>
      <c r="B463" t="str">
        <f>"9780199914968"</f>
        <v>9780199914968</v>
      </c>
      <c r="C463" t="s">
        <v>2082</v>
      </c>
      <c r="D463" t="s">
        <v>2080</v>
      </c>
      <c r="E463" t="s">
        <v>241</v>
      </c>
      <c r="H463" t="s">
        <v>1283</v>
      </c>
      <c r="I463" t="s">
        <v>2081</v>
      </c>
    </row>
    <row r="464" spans="1:9" x14ac:dyDescent="0.35">
      <c r="A464" t="s">
        <v>2083</v>
      </c>
      <c r="B464" t="str">
        <f>"9781443830423"</f>
        <v>9781443830423</v>
      </c>
      <c r="C464" t="s">
        <v>2086</v>
      </c>
      <c r="D464" t="s">
        <v>2084</v>
      </c>
      <c r="E464" t="s">
        <v>1829</v>
      </c>
      <c r="H464" t="s">
        <v>23</v>
      </c>
      <c r="I464" t="s">
        <v>2085</v>
      </c>
    </row>
    <row r="465" spans="1:9" x14ac:dyDescent="0.35">
      <c r="A465" t="s">
        <v>2087</v>
      </c>
      <c r="B465" t="str">
        <f>"9781443846462"</f>
        <v>9781443846462</v>
      </c>
      <c r="C465" t="s">
        <v>2091</v>
      </c>
      <c r="D465" t="s">
        <v>2088</v>
      </c>
      <c r="E465" t="s">
        <v>1829</v>
      </c>
      <c r="H465" t="s">
        <v>2089</v>
      </c>
      <c r="I465" t="s">
        <v>2090</v>
      </c>
    </row>
    <row r="466" spans="1:9" x14ac:dyDescent="0.35">
      <c r="A466" t="s">
        <v>2092</v>
      </c>
      <c r="B466" t="str">
        <f>"9780643108387"</f>
        <v>9780643108387</v>
      </c>
      <c r="C466" t="s">
        <v>2096</v>
      </c>
      <c r="D466" t="s">
        <v>2094</v>
      </c>
      <c r="E466" t="s">
        <v>2093</v>
      </c>
      <c r="H466" t="s">
        <v>298</v>
      </c>
      <c r="I466" t="s">
        <v>2095</v>
      </c>
    </row>
    <row r="467" spans="1:9" x14ac:dyDescent="0.35">
      <c r="A467" t="s">
        <v>2097</v>
      </c>
      <c r="B467" t="str">
        <f>"9789088901249"</f>
        <v>9789088901249</v>
      </c>
      <c r="C467" t="s">
        <v>2101</v>
      </c>
      <c r="D467" t="s">
        <v>2099</v>
      </c>
      <c r="E467" t="s">
        <v>2098</v>
      </c>
      <c r="H467" t="s">
        <v>29</v>
      </c>
      <c r="I467" t="s">
        <v>2100</v>
      </c>
    </row>
    <row r="468" spans="1:9" x14ac:dyDescent="0.35">
      <c r="A468" t="s">
        <v>2102</v>
      </c>
      <c r="B468" t="str">
        <f>"9789088901140"</f>
        <v>9789088901140</v>
      </c>
      <c r="C468" t="s">
        <v>2105</v>
      </c>
      <c r="D468" t="s">
        <v>2103</v>
      </c>
      <c r="E468" t="s">
        <v>2098</v>
      </c>
      <c r="H468" t="s">
        <v>29</v>
      </c>
      <c r="I468" t="s">
        <v>2104</v>
      </c>
    </row>
    <row r="469" spans="1:9" x14ac:dyDescent="0.35">
      <c r="A469" t="s">
        <v>2106</v>
      </c>
      <c r="B469" t="str">
        <f>"9780803246850"</f>
        <v>9780803246850</v>
      </c>
      <c r="C469" t="s">
        <v>2109</v>
      </c>
      <c r="D469" t="s">
        <v>2107</v>
      </c>
      <c r="E469" t="s">
        <v>874</v>
      </c>
      <c r="H469" t="s">
        <v>82</v>
      </c>
      <c r="I469" t="s">
        <v>2108</v>
      </c>
    </row>
    <row r="470" spans="1:9" x14ac:dyDescent="0.35">
      <c r="A470" t="s">
        <v>2110</v>
      </c>
      <c r="B470" t="str">
        <f>"9780826353238"</f>
        <v>9780826353238</v>
      </c>
      <c r="C470" t="s">
        <v>2113</v>
      </c>
      <c r="D470" t="s">
        <v>2111</v>
      </c>
      <c r="E470" t="s">
        <v>1874</v>
      </c>
      <c r="H470" t="s">
        <v>29</v>
      </c>
      <c r="I470" t="s">
        <v>2112</v>
      </c>
    </row>
    <row r="471" spans="1:9" x14ac:dyDescent="0.35">
      <c r="A471" t="s">
        <v>2114</v>
      </c>
      <c r="B471" t="str">
        <f>"9780813560724"</f>
        <v>9780813560724</v>
      </c>
      <c r="C471" t="s">
        <v>2118</v>
      </c>
      <c r="D471" t="s">
        <v>2116</v>
      </c>
      <c r="E471" t="s">
        <v>258</v>
      </c>
      <c r="F471" t="s">
        <v>2115</v>
      </c>
      <c r="H471" t="s">
        <v>82</v>
      </c>
      <c r="I471" t="s">
        <v>2117</v>
      </c>
    </row>
    <row r="472" spans="1:9" x14ac:dyDescent="0.35">
      <c r="A472" t="s">
        <v>2119</v>
      </c>
      <c r="B472" t="str">
        <f>"9780816682768"</f>
        <v>9780816682768</v>
      </c>
      <c r="C472" t="s">
        <v>2122</v>
      </c>
      <c r="D472" t="s">
        <v>2120</v>
      </c>
      <c r="E472" t="s">
        <v>119</v>
      </c>
      <c r="F472" t="s">
        <v>120</v>
      </c>
      <c r="H472" t="s">
        <v>23</v>
      </c>
      <c r="I472" t="s">
        <v>2121</v>
      </c>
    </row>
    <row r="473" spans="1:9" x14ac:dyDescent="0.35">
      <c r="A473" t="s">
        <v>2123</v>
      </c>
      <c r="B473" t="str">
        <f>"9780803246249"</f>
        <v>9780803246249</v>
      </c>
      <c r="C473" t="s">
        <v>2125</v>
      </c>
      <c r="D473" t="s">
        <v>1422</v>
      </c>
      <c r="E473" t="s">
        <v>874</v>
      </c>
      <c r="H473" t="s">
        <v>29</v>
      </c>
      <c r="I473" t="s">
        <v>2124</v>
      </c>
    </row>
    <row r="474" spans="1:9" x14ac:dyDescent="0.35">
      <c r="A474" t="s">
        <v>2126</v>
      </c>
      <c r="B474" t="str">
        <f>"9780803245792"</f>
        <v>9780803245792</v>
      </c>
      <c r="C474" t="s">
        <v>2129</v>
      </c>
      <c r="D474" t="s">
        <v>2127</v>
      </c>
      <c r="E474" t="s">
        <v>874</v>
      </c>
      <c r="F474" t="s">
        <v>520</v>
      </c>
      <c r="H474" t="s">
        <v>29</v>
      </c>
      <c r="I474" t="s">
        <v>2128</v>
      </c>
    </row>
    <row r="475" spans="1:9" x14ac:dyDescent="0.35">
      <c r="A475" t="s">
        <v>2130</v>
      </c>
      <c r="B475" t="str">
        <f>"9780816689088"</f>
        <v>9780816689088</v>
      </c>
      <c r="C475" t="s">
        <v>2133</v>
      </c>
      <c r="D475" t="s">
        <v>2131</v>
      </c>
      <c r="E475" t="s">
        <v>119</v>
      </c>
      <c r="F475" t="s">
        <v>939</v>
      </c>
      <c r="H475" t="s">
        <v>851</v>
      </c>
      <c r="I475" t="s">
        <v>2132</v>
      </c>
    </row>
    <row r="476" spans="1:9" x14ac:dyDescent="0.35">
      <c r="A476" t="s">
        <v>2134</v>
      </c>
      <c r="B476" t="str">
        <f>"9781922059239"</f>
        <v>9781922059239</v>
      </c>
      <c r="C476" t="s">
        <v>2137</v>
      </c>
      <c r="D476" t="s">
        <v>2135</v>
      </c>
      <c r="E476" t="s">
        <v>1345</v>
      </c>
      <c r="H476" t="s">
        <v>82</v>
      </c>
      <c r="I476" t="s">
        <v>2136</v>
      </c>
    </row>
    <row r="477" spans="1:9" x14ac:dyDescent="0.35">
      <c r="A477" t="s">
        <v>2138</v>
      </c>
      <c r="B477" t="str">
        <f>"9781118426401"</f>
        <v>9781118426401</v>
      </c>
      <c r="C477" t="s">
        <v>2142</v>
      </c>
      <c r="D477" t="s">
        <v>2140</v>
      </c>
      <c r="E477" t="s">
        <v>59</v>
      </c>
      <c r="F477" t="s">
        <v>2139</v>
      </c>
      <c r="H477" t="s">
        <v>636</v>
      </c>
      <c r="I477" t="s">
        <v>2141</v>
      </c>
    </row>
    <row r="478" spans="1:9" x14ac:dyDescent="0.35">
      <c r="A478" t="s">
        <v>2143</v>
      </c>
      <c r="B478" t="str">
        <f>"9781443845205"</f>
        <v>9781443845205</v>
      </c>
      <c r="C478" t="s">
        <v>2146</v>
      </c>
      <c r="D478" t="s">
        <v>2144</v>
      </c>
      <c r="E478" t="s">
        <v>1829</v>
      </c>
      <c r="H478" t="s">
        <v>111</v>
      </c>
      <c r="I478" t="s">
        <v>2145</v>
      </c>
    </row>
    <row r="479" spans="1:9" x14ac:dyDescent="0.35">
      <c r="A479" t="s">
        <v>2147</v>
      </c>
      <c r="B479" t="str">
        <f>"9780826353085"</f>
        <v>9780826353085</v>
      </c>
      <c r="C479" t="s">
        <v>2150</v>
      </c>
      <c r="D479" t="s">
        <v>2148</v>
      </c>
      <c r="E479" t="s">
        <v>1874</v>
      </c>
      <c r="H479" t="s">
        <v>49</v>
      </c>
      <c r="I479" t="s">
        <v>2149</v>
      </c>
    </row>
    <row r="480" spans="1:9" x14ac:dyDescent="0.35">
      <c r="A480" t="s">
        <v>2151</v>
      </c>
      <c r="B480" t="str">
        <f>"9781135933296"</f>
        <v>9781135933296</v>
      </c>
      <c r="C480" t="s">
        <v>2155</v>
      </c>
      <c r="D480" t="s">
        <v>2152</v>
      </c>
      <c r="E480" t="s">
        <v>9</v>
      </c>
      <c r="H480" t="s">
        <v>2153</v>
      </c>
      <c r="I480" t="s">
        <v>2154</v>
      </c>
    </row>
    <row r="481" spans="1:9" x14ac:dyDescent="0.35">
      <c r="A481" t="s">
        <v>2156</v>
      </c>
      <c r="B481" t="str">
        <f>"9780702249082"</f>
        <v>9780702249082</v>
      </c>
      <c r="C481" t="s">
        <v>2160</v>
      </c>
      <c r="D481" t="s">
        <v>2158</v>
      </c>
      <c r="E481" t="s">
        <v>2157</v>
      </c>
      <c r="H481" t="s">
        <v>1296</v>
      </c>
      <c r="I481" t="s">
        <v>2159</v>
      </c>
    </row>
    <row r="482" spans="1:9" x14ac:dyDescent="0.35">
      <c r="A482" t="s">
        <v>2161</v>
      </c>
      <c r="B482" t="str">
        <f>"9781598746976"</f>
        <v>9781598746976</v>
      </c>
      <c r="C482" t="s">
        <v>2163</v>
      </c>
      <c r="D482" t="s">
        <v>2162</v>
      </c>
      <c r="E482" t="s">
        <v>9</v>
      </c>
      <c r="H482" t="s">
        <v>111</v>
      </c>
      <c r="I482" t="s">
        <v>1849</v>
      </c>
    </row>
    <row r="483" spans="1:9" x14ac:dyDescent="0.35">
      <c r="A483" t="s">
        <v>2164</v>
      </c>
      <c r="B483" t="str">
        <f>"9780803246812"</f>
        <v>9780803246812</v>
      </c>
      <c r="C483" t="s">
        <v>2167</v>
      </c>
      <c r="D483" t="s">
        <v>2165</v>
      </c>
      <c r="E483" t="s">
        <v>874</v>
      </c>
      <c r="H483" t="s">
        <v>1866</v>
      </c>
      <c r="I483" t="s">
        <v>2166</v>
      </c>
    </row>
    <row r="484" spans="1:9" x14ac:dyDescent="0.35">
      <c r="A484" t="s">
        <v>2168</v>
      </c>
      <c r="B484" t="str">
        <f>"9780199917310"</f>
        <v>9780199917310</v>
      </c>
      <c r="C484" t="s">
        <v>2170</v>
      </c>
      <c r="D484" t="s">
        <v>76</v>
      </c>
      <c r="E484" t="s">
        <v>74</v>
      </c>
      <c r="H484" t="s">
        <v>233</v>
      </c>
      <c r="I484" t="s">
        <v>2169</v>
      </c>
    </row>
    <row r="485" spans="1:9" x14ac:dyDescent="0.35">
      <c r="A485" t="s">
        <v>2171</v>
      </c>
      <c r="B485" t="str">
        <f>"9780803245679"</f>
        <v>9780803245679</v>
      </c>
      <c r="C485" t="s">
        <v>2174</v>
      </c>
      <c r="D485" t="s">
        <v>2172</v>
      </c>
      <c r="E485" t="s">
        <v>874</v>
      </c>
      <c r="H485" t="s">
        <v>1866</v>
      </c>
      <c r="I485" t="s">
        <v>2173</v>
      </c>
    </row>
    <row r="486" spans="1:9" x14ac:dyDescent="0.35">
      <c r="A486" t="s">
        <v>2175</v>
      </c>
      <c r="B486" t="str">
        <f>"9780803246492"</f>
        <v>9780803246492</v>
      </c>
      <c r="C486" t="s">
        <v>2178</v>
      </c>
      <c r="D486" t="s">
        <v>2176</v>
      </c>
      <c r="E486" t="s">
        <v>874</v>
      </c>
      <c r="F486" t="s">
        <v>1148</v>
      </c>
      <c r="H486" t="s">
        <v>147</v>
      </c>
      <c r="I486" t="s">
        <v>2177</v>
      </c>
    </row>
    <row r="487" spans="1:9" x14ac:dyDescent="0.35">
      <c r="A487" t="s">
        <v>2179</v>
      </c>
      <c r="B487" t="str">
        <f>"9789004251212"</f>
        <v>9789004251212</v>
      </c>
      <c r="C487" t="s">
        <v>2183</v>
      </c>
      <c r="D487" t="s">
        <v>2181</v>
      </c>
      <c r="E487" t="s">
        <v>483</v>
      </c>
      <c r="F487" t="s">
        <v>2180</v>
      </c>
      <c r="H487" t="s">
        <v>29</v>
      </c>
      <c r="I487" t="s">
        <v>2182</v>
      </c>
    </row>
    <row r="488" spans="1:9" x14ac:dyDescent="0.35">
      <c r="A488" t="s">
        <v>2184</v>
      </c>
      <c r="B488" t="str">
        <f>"9789401209137"</f>
        <v>9789401209137</v>
      </c>
      <c r="C488" t="s">
        <v>2187</v>
      </c>
      <c r="D488" t="s">
        <v>2185</v>
      </c>
      <c r="E488" t="s">
        <v>483</v>
      </c>
      <c r="F488" t="s">
        <v>1166</v>
      </c>
      <c r="H488" t="s">
        <v>82</v>
      </c>
      <c r="I488" t="s">
        <v>2186</v>
      </c>
    </row>
    <row r="489" spans="1:9" x14ac:dyDescent="0.35">
      <c r="A489" t="s">
        <v>2188</v>
      </c>
      <c r="B489" t="str">
        <f>"9789088901812"</f>
        <v>9789088901812</v>
      </c>
      <c r="C489" t="s">
        <v>2192</v>
      </c>
      <c r="D489" t="s">
        <v>2190</v>
      </c>
      <c r="E489" t="s">
        <v>2098</v>
      </c>
      <c r="F489" t="s">
        <v>2189</v>
      </c>
      <c r="H489" t="s">
        <v>111</v>
      </c>
      <c r="I489" t="s">
        <v>2191</v>
      </c>
    </row>
    <row r="490" spans="1:9" x14ac:dyDescent="0.35">
      <c r="A490" t="s">
        <v>2193</v>
      </c>
      <c r="B490" t="str">
        <f>"9789088901836"</f>
        <v>9789088901836</v>
      </c>
      <c r="C490" t="s">
        <v>2196</v>
      </c>
      <c r="D490" t="s">
        <v>2194</v>
      </c>
      <c r="E490" t="s">
        <v>2098</v>
      </c>
      <c r="F490" t="s">
        <v>2189</v>
      </c>
      <c r="H490" t="s">
        <v>29</v>
      </c>
      <c r="I490" t="s">
        <v>2195</v>
      </c>
    </row>
    <row r="491" spans="1:9" x14ac:dyDescent="0.35">
      <c r="A491" t="s">
        <v>2197</v>
      </c>
      <c r="B491" t="str">
        <f>"9781781905425"</f>
        <v>9781781905425</v>
      </c>
      <c r="C491" t="s">
        <v>2202</v>
      </c>
      <c r="D491" t="s">
        <v>2200</v>
      </c>
      <c r="E491" t="s">
        <v>2198</v>
      </c>
      <c r="F491" t="s">
        <v>2199</v>
      </c>
      <c r="H491" t="s">
        <v>111</v>
      </c>
      <c r="I491" t="s">
        <v>2201</v>
      </c>
    </row>
    <row r="492" spans="1:9" x14ac:dyDescent="0.35">
      <c r="A492" t="s">
        <v>2203</v>
      </c>
      <c r="B492" t="str">
        <f>"9781611320909"</f>
        <v>9781611320909</v>
      </c>
      <c r="C492" t="s">
        <v>2205</v>
      </c>
      <c r="D492" t="s">
        <v>1020</v>
      </c>
      <c r="E492" t="s">
        <v>9</v>
      </c>
      <c r="H492" t="s">
        <v>82</v>
      </c>
      <c r="I492" t="s">
        <v>2204</v>
      </c>
    </row>
    <row r="493" spans="1:9" x14ac:dyDescent="0.35">
      <c r="A493" t="s">
        <v>2206</v>
      </c>
      <c r="B493" t="str">
        <f>"9780739130384"</f>
        <v>9780739130384</v>
      </c>
      <c r="C493" t="s">
        <v>2209</v>
      </c>
      <c r="D493" t="s">
        <v>2207</v>
      </c>
      <c r="E493" t="s">
        <v>975</v>
      </c>
      <c r="H493" t="s">
        <v>1946</v>
      </c>
      <c r="I493" t="s">
        <v>2208</v>
      </c>
    </row>
    <row r="494" spans="1:9" x14ac:dyDescent="0.35">
      <c r="A494" t="s">
        <v>2210</v>
      </c>
      <c r="B494" t="str">
        <f>"9780826353191"</f>
        <v>9780826353191</v>
      </c>
      <c r="C494" t="s">
        <v>2213</v>
      </c>
      <c r="D494" t="s">
        <v>2211</v>
      </c>
      <c r="E494" t="s">
        <v>1874</v>
      </c>
      <c r="H494" t="s">
        <v>1866</v>
      </c>
      <c r="I494" t="s">
        <v>2212</v>
      </c>
    </row>
    <row r="495" spans="1:9" x14ac:dyDescent="0.35">
      <c r="A495" t="s">
        <v>2214</v>
      </c>
      <c r="B495" t="str">
        <f>"9781571318718"</f>
        <v>9781571318718</v>
      </c>
      <c r="C495" t="s">
        <v>2219</v>
      </c>
      <c r="D495" t="s">
        <v>2216</v>
      </c>
      <c r="E495" t="s">
        <v>2215</v>
      </c>
      <c r="H495" t="s">
        <v>2217</v>
      </c>
      <c r="I495" t="s">
        <v>2218</v>
      </c>
    </row>
    <row r="496" spans="1:9" x14ac:dyDescent="0.35">
      <c r="A496" t="s">
        <v>2220</v>
      </c>
      <c r="B496" t="str">
        <f>"9780826353313"</f>
        <v>9780826353313</v>
      </c>
      <c r="C496" t="s">
        <v>2223</v>
      </c>
      <c r="D496" t="s">
        <v>2221</v>
      </c>
      <c r="E496" t="s">
        <v>1874</v>
      </c>
      <c r="H496" t="s">
        <v>29</v>
      </c>
      <c r="I496" t="s">
        <v>2222</v>
      </c>
    </row>
    <row r="497" spans="1:9" x14ac:dyDescent="0.35">
      <c r="A497" t="s">
        <v>2224</v>
      </c>
      <c r="B497" t="str">
        <f>"9780826353375"</f>
        <v>9780826353375</v>
      </c>
      <c r="C497" t="s">
        <v>2228</v>
      </c>
      <c r="D497" t="s">
        <v>2226</v>
      </c>
      <c r="E497" t="s">
        <v>1874</v>
      </c>
      <c r="F497" t="s">
        <v>2225</v>
      </c>
      <c r="H497" t="s">
        <v>29</v>
      </c>
      <c r="I497" t="s">
        <v>2227</v>
      </c>
    </row>
    <row r="498" spans="1:9" x14ac:dyDescent="0.35">
      <c r="A498" t="s">
        <v>2229</v>
      </c>
      <c r="B498" t="str">
        <f>"9781469608099"</f>
        <v>9781469608099</v>
      </c>
      <c r="C498" t="s">
        <v>2232</v>
      </c>
      <c r="D498" t="s">
        <v>2230</v>
      </c>
      <c r="E498" t="s">
        <v>438</v>
      </c>
      <c r="H498" t="s">
        <v>233</v>
      </c>
      <c r="I498" t="s">
        <v>2231</v>
      </c>
    </row>
    <row r="499" spans="1:9" x14ac:dyDescent="0.35">
      <c r="A499" t="s">
        <v>2233</v>
      </c>
      <c r="B499" t="str">
        <f>"9780739178652"</f>
        <v>9780739178652</v>
      </c>
      <c r="C499" t="s">
        <v>2237</v>
      </c>
      <c r="D499" t="s">
        <v>2234</v>
      </c>
      <c r="E499" t="s">
        <v>975</v>
      </c>
      <c r="H499" t="s">
        <v>2235</v>
      </c>
      <c r="I499" t="s">
        <v>2236</v>
      </c>
    </row>
    <row r="500" spans="1:9" x14ac:dyDescent="0.35">
      <c r="A500" t="s">
        <v>2238</v>
      </c>
      <c r="B500" t="str">
        <f>"9780820345765"</f>
        <v>9780820345765</v>
      </c>
      <c r="C500" t="s">
        <v>2242</v>
      </c>
      <c r="D500" t="s">
        <v>2240</v>
      </c>
      <c r="E500" t="s">
        <v>2239</v>
      </c>
      <c r="H500" t="s">
        <v>201</v>
      </c>
      <c r="I500" t="s">
        <v>2241</v>
      </c>
    </row>
    <row r="501" spans="1:9" x14ac:dyDescent="0.35">
      <c r="A501" t="s">
        <v>2243</v>
      </c>
      <c r="B501" t="str">
        <f>"9780803246256"</f>
        <v>9780803246256</v>
      </c>
      <c r="C501" t="s">
        <v>2246</v>
      </c>
      <c r="D501" t="s">
        <v>2244</v>
      </c>
      <c r="E501" t="s">
        <v>874</v>
      </c>
      <c r="H501" t="s">
        <v>82</v>
      </c>
      <c r="I501" t="s">
        <v>2245</v>
      </c>
    </row>
    <row r="502" spans="1:9" x14ac:dyDescent="0.35">
      <c r="A502" t="s">
        <v>2247</v>
      </c>
      <c r="B502" t="str">
        <f>"9780816687046"</f>
        <v>9780816687046</v>
      </c>
      <c r="C502" t="s">
        <v>2250</v>
      </c>
      <c r="D502" t="s">
        <v>2248</v>
      </c>
      <c r="E502" t="s">
        <v>119</v>
      </c>
      <c r="H502" t="s">
        <v>915</v>
      </c>
      <c r="I502" t="s">
        <v>2249</v>
      </c>
    </row>
    <row r="503" spans="1:9" x14ac:dyDescent="0.35">
      <c r="A503" t="s">
        <v>2251</v>
      </c>
      <c r="B503" t="str">
        <f>"9780826117991"</f>
        <v>9780826117991</v>
      </c>
      <c r="C503" t="s">
        <v>2256</v>
      </c>
      <c r="D503" t="s">
        <v>2253</v>
      </c>
      <c r="E503" t="s">
        <v>2252</v>
      </c>
      <c r="H503" t="s">
        <v>2254</v>
      </c>
      <c r="I503" t="s">
        <v>2255</v>
      </c>
    </row>
    <row r="504" spans="1:9" x14ac:dyDescent="0.35">
      <c r="A504" t="s">
        <v>2257</v>
      </c>
      <c r="B504" t="str">
        <f>"9781603447782"</f>
        <v>9781603447782</v>
      </c>
      <c r="C504" t="s">
        <v>2261</v>
      </c>
      <c r="D504" t="s">
        <v>2259</v>
      </c>
      <c r="E504" t="s">
        <v>1859</v>
      </c>
      <c r="F504" t="s">
        <v>2258</v>
      </c>
      <c r="H504" t="s">
        <v>82</v>
      </c>
      <c r="I504" t="s">
        <v>2260</v>
      </c>
    </row>
    <row r="505" spans="1:9" x14ac:dyDescent="0.35">
      <c r="A505" t="s">
        <v>2262</v>
      </c>
      <c r="B505" t="str">
        <f>"9781603448055"</f>
        <v>9781603448055</v>
      </c>
      <c r="C505" t="s">
        <v>2265</v>
      </c>
      <c r="D505" t="s">
        <v>2263</v>
      </c>
      <c r="E505" t="s">
        <v>1859</v>
      </c>
      <c r="F505" t="s">
        <v>1860</v>
      </c>
      <c r="H505" t="s">
        <v>29</v>
      </c>
      <c r="I505" t="s">
        <v>2264</v>
      </c>
    </row>
    <row r="506" spans="1:9" x14ac:dyDescent="0.35">
      <c r="A506" t="s">
        <v>2266</v>
      </c>
      <c r="B506" t="str">
        <f>"9781603447553"</f>
        <v>9781603447553</v>
      </c>
      <c r="C506" t="s">
        <v>2270</v>
      </c>
      <c r="D506" t="s">
        <v>2268</v>
      </c>
      <c r="E506" t="s">
        <v>1859</v>
      </c>
      <c r="F506" t="s">
        <v>2267</v>
      </c>
      <c r="H506" t="s">
        <v>29</v>
      </c>
      <c r="I506" t="s">
        <v>2269</v>
      </c>
    </row>
    <row r="507" spans="1:9" x14ac:dyDescent="0.35">
      <c r="A507" t="s">
        <v>2271</v>
      </c>
      <c r="B507" t="str">
        <f>"9780817386757"</f>
        <v>9780817386757</v>
      </c>
      <c r="C507" t="s">
        <v>2274</v>
      </c>
      <c r="D507" t="s">
        <v>2272</v>
      </c>
      <c r="E507" t="s">
        <v>269</v>
      </c>
      <c r="F507" t="s">
        <v>274</v>
      </c>
      <c r="H507" t="s">
        <v>29</v>
      </c>
      <c r="I507" t="s">
        <v>2273</v>
      </c>
    </row>
    <row r="508" spans="1:9" x14ac:dyDescent="0.35">
      <c r="A508" t="s">
        <v>2275</v>
      </c>
      <c r="B508" t="str">
        <f>"9780742569003"</f>
        <v>9780742569003</v>
      </c>
      <c r="C508" t="s">
        <v>2278</v>
      </c>
      <c r="D508" t="s">
        <v>2276</v>
      </c>
      <c r="E508" t="s">
        <v>948</v>
      </c>
      <c r="H508" t="s">
        <v>29</v>
      </c>
      <c r="I508" t="s">
        <v>2277</v>
      </c>
    </row>
    <row r="509" spans="1:9" x14ac:dyDescent="0.35">
      <c r="A509" t="s">
        <v>2279</v>
      </c>
      <c r="B509" t="str">
        <f>"9780520956865"</f>
        <v>9780520956865</v>
      </c>
      <c r="C509" t="s">
        <v>2282</v>
      </c>
      <c r="D509" t="s">
        <v>2280</v>
      </c>
      <c r="E509" t="s">
        <v>42</v>
      </c>
      <c r="H509" t="s">
        <v>29</v>
      </c>
      <c r="I509" t="s">
        <v>2281</v>
      </c>
    </row>
    <row r="510" spans="1:9" x14ac:dyDescent="0.35">
      <c r="A510" t="s">
        <v>2283</v>
      </c>
      <c r="B510" t="str">
        <f>"9780742576100"</f>
        <v>9780742576100</v>
      </c>
      <c r="C510" t="s">
        <v>2286</v>
      </c>
      <c r="D510" t="s">
        <v>2284</v>
      </c>
      <c r="E510" t="s">
        <v>948</v>
      </c>
      <c r="H510" t="s">
        <v>29</v>
      </c>
      <c r="I510" t="s">
        <v>2285</v>
      </c>
    </row>
    <row r="511" spans="1:9" x14ac:dyDescent="0.35">
      <c r="A511" t="s">
        <v>2287</v>
      </c>
      <c r="B511" t="str">
        <f>"9780759113640"</f>
        <v>9780759113640</v>
      </c>
      <c r="C511" t="s">
        <v>2291</v>
      </c>
      <c r="D511" t="s">
        <v>2289</v>
      </c>
      <c r="E511" t="s">
        <v>456</v>
      </c>
      <c r="F511" t="s">
        <v>2288</v>
      </c>
      <c r="H511" t="s">
        <v>265</v>
      </c>
      <c r="I511" t="s">
        <v>2290</v>
      </c>
    </row>
    <row r="512" spans="1:9" x14ac:dyDescent="0.35">
      <c r="A512" t="s">
        <v>2292</v>
      </c>
      <c r="B512" t="str">
        <f>"9781134620487"</f>
        <v>9781134620487</v>
      </c>
      <c r="C512" t="s">
        <v>2295</v>
      </c>
      <c r="D512" t="s">
        <v>2293</v>
      </c>
      <c r="E512" t="s">
        <v>9</v>
      </c>
      <c r="H512" t="s">
        <v>982</v>
      </c>
      <c r="I512" t="s">
        <v>2294</v>
      </c>
    </row>
    <row r="513" spans="1:9" x14ac:dyDescent="0.35">
      <c r="A513" t="s">
        <v>2296</v>
      </c>
      <c r="B513" t="str">
        <f>"9780813048512"</f>
        <v>9780813048512</v>
      </c>
      <c r="C513" t="s">
        <v>2300</v>
      </c>
      <c r="D513" t="s">
        <v>2298</v>
      </c>
      <c r="E513" t="s">
        <v>1227</v>
      </c>
      <c r="F513" t="s">
        <v>2297</v>
      </c>
      <c r="H513" t="s">
        <v>29</v>
      </c>
      <c r="I513" t="s">
        <v>2299</v>
      </c>
    </row>
    <row r="514" spans="1:9" x14ac:dyDescent="0.35">
      <c r="A514" t="s">
        <v>2301</v>
      </c>
      <c r="B514" t="str">
        <f>"9781781905920"</f>
        <v>9781781905920</v>
      </c>
      <c r="C514" t="s">
        <v>2305</v>
      </c>
      <c r="D514" t="s">
        <v>2303</v>
      </c>
      <c r="E514" t="s">
        <v>2198</v>
      </c>
      <c r="F514" t="s">
        <v>2302</v>
      </c>
      <c r="H514" t="s">
        <v>192</v>
      </c>
      <c r="I514" t="s">
        <v>2304</v>
      </c>
    </row>
    <row r="515" spans="1:9" x14ac:dyDescent="0.35">
      <c r="A515" t="s">
        <v>2306</v>
      </c>
      <c r="B515" t="str">
        <f>"9780857456687"</f>
        <v>9780857456687</v>
      </c>
      <c r="C515" t="s">
        <v>2309</v>
      </c>
      <c r="D515" t="s">
        <v>2307</v>
      </c>
      <c r="E515" t="s">
        <v>1128</v>
      </c>
      <c r="H515" t="s">
        <v>82</v>
      </c>
      <c r="I515" t="s">
        <v>2308</v>
      </c>
    </row>
    <row r="516" spans="1:9" x14ac:dyDescent="0.35">
      <c r="A516" t="s">
        <v>2310</v>
      </c>
      <c r="B516" t="str">
        <f>"9780817386559"</f>
        <v>9780817386559</v>
      </c>
      <c r="C516" t="s">
        <v>2314</v>
      </c>
      <c r="D516" t="s">
        <v>2311</v>
      </c>
      <c r="E516" t="s">
        <v>269</v>
      </c>
      <c r="H516" t="s">
        <v>2312</v>
      </c>
      <c r="I516" t="s">
        <v>2313</v>
      </c>
    </row>
    <row r="517" spans="1:9" x14ac:dyDescent="0.35">
      <c r="A517" t="s">
        <v>2315</v>
      </c>
      <c r="B517" t="str">
        <f>"9780804787321"</f>
        <v>9780804787321</v>
      </c>
      <c r="C517" t="s">
        <v>2318</v>
      </c>
      <c r="D517" t="s">
        <v>2316</v>
      </c>
      <c r="E517" t="s">
        <v>597</v>
      </c>
      <c r="H517" t="s">
        <v>265</v>
      </c>
      <c r="I517" t="s">
        <v>2317</v>
      </c>
    </row>
    <row r="518" spans="1:9" x14ac:dyDescent="0.35">
      <c r="A518" t="s">
        <v>2319</v>
      </c>
      <c r="B518" t="str">
        <f>"9781922059437"</f>
        <v>9781922059437</v>
      </c>
      <c r="C518" t="s">
        <v>2322</v>
      </c>
      <c r="D518" t="s">
        <v>2320</v>
      </c>
      <c r="E518" t="s">
        <v>1345</v>
      </c>
      <c r="H518" t="s">
        <v>201</v>
      </c>
      <c r="I518" t="s">
        <v>2321</v>
      </c>
    </row>
    <row r="519" spans="1:9" x14ac:dyDescent="0.35">
      <c r="A519" t="s">
        <v>2323</v>
      </c>
      <c r="B519" t="str">
        <f>"9780809385645"</f>
        <v>9780809385645</v>
      </c>
      <c r="C519" t="s">
        <v>2328</v>
      </c>
      <c r="D519" t="s">
        <v>2326</v>
      </c>
      <c r="E519" t="s">
        <v>2324</v>
      </c>
      <c r="F519" t="s">
        <v>2325</v>
      </c>
      <c r="H519" t="s">
        <v>29</v>
      </c>
      <c r="I519" t="s">
        <v>2327</v>
      </c>
    </row>
    <row r="520" spans="1:9" x14ac:dyDescent="0.35">
      <c r="A520" t="s">
        <v>2329</v>
      </c>
      <c r="B520" t="str">
        <f>"9780809385737"</f>
        <v>9780809385737</v>
      </c>
      <c r="C520" t="s">
        <v>2332</v>
      </c>
      <c r="D520" t="s">
        <v>2330</v>
      </c>
      <c r="E520" t="s">
        <v>2324</v>
      </c>
      <c r="H520" t="s">
        <v>201</v>
      </c>
      <c r="I520" t="s">
        <v>2331</v>
      </c>
    </row>
    <row r="521" spans="1:9" x14ac:dyDescent="0.35">
      <c r="A521" t="s">
        <v>2333</v>
      </c>
      <c r="B521" t="str">
        <f>"9781621900191"</f>
        <v>9781621900191</v>
      </c>
      <c r="C521" t="s">
        <v>2336</v>
      </c>
      <c r="D521" t="s">
        <v>2334</v>
      </c>
      <c r="E521" t="s">
        <v>1190</v>
      </c>
      <c r="H521" t="s">
        <v>29</v>
      </c>
      <c r="I521" t="s">
        <v>2335</v>
      </c>
    </row>
    <row r="522" spans="1:9" x14ac:dyDescent="0.35">
      <c r="A522" t="s">
        <v>2337</v>
      </c>
      <c r="B522" t="str">
        <f>"9780739179239"</f>
        <v>9780739179239</v>
      </c>
      <c r="C522" t="s">
        <v>2340</v>
      </c>
      <c r="D522" t="s">
        <v>2338</v>
      </c>
      <c r="E522" t="s">
        <v>975</v>
      </c>
      <c r="H522" t="s">
        <v>140</v>
      </c>
      <c r="I522" t="s">
        <v>2339</v>
      </c>
    </row>
    <row r="523" spans="1:9" x14ac:dyDescent="0.35">
      <c r="A523" t="s">
        <v>2341</v>
      </c>
      <c r="B523" t="str">
        <f>"9780817386665"</f>
        <v>9780817386665</v>
      </c>
      <c r="C523" t="s">
        <v>2344</v>
      </c>
      <c r="D523" t="s">
        <v>2342</v>
      </c>
      <c r="E523" t="s">
        <v>269</v>
      </c>
      <c r="H523" t="s">
        <v>82</v>
      </c>
      <c r="I523" t="s">
        <v>2343</v>
      </c>
    </row>
    <row r="524" spans="1:9" x14ac:dyDescent="0.35">
      <c r="A524" t="s">
        <v>2345</v>
      </c>
      <c r="B524" t="str">
        <f>"9780816685776"</f>
        <v>9780816685776</v>
      </c>
      <c r="C524" t="s">
        <v>2348</v>
      </c>
      <c r="D524" t="s">
        <v>2346</v>
      </c>
      <c r="E524" t="s">
        <v>119</v>
      </c>
      <c r="H524" t="s">
        <v>29</v>
      </c>
      <c r="I524" t="s">
        <v>2347</v>
      </c>
    </row>
    <row r="525" spans="1:9" x14ac:dyDescent="0.35">
      <c r="A525" t="s">
        <v>2349</v>
      </c>
      <c r="B525" t="str">
        <f>"9781452939353"</f>
        <v>9781452939353</v>
      </c>
      <c r="C525" t="s">
        <v>2352</v>
      </c>
      <c r="D525" t="s">
        <v>2350</v>
      </c>
      <c r="E525" t="s">
        <v>119</v>
      </c>
      <c r="F525" t="s">
        <v>939</v>
      </c>
      <c r="H525" t="s">
        <v>29</v>
      </c>
      <c r="I525" t="s">
        <v>2351</v>
      </c>
    </row>
    <row r="526" spans="1:9" x14ac:dyDescent="0.35">
      <c r="A526" t="s">
        <v>2353</v>
      </c>
      <c r="B526" t="str">
        <f>"9780803248595"</f>
        <v>9780803248595</v>
      </c>
      <c r="C526" t="s">
        <v>2356</v>
      </c>
      <c r="D526" t="s">
        <v>2354</v>
      </c>
      <c r="E526" t="s">
        <v>874</v>
      </c>
      <c r="H526" t="s">
        <v>82</v>
      </c>
      <c r="I526" t="s">
        <v>2355</v>
      </c>
    </row>
    <row r="527" spans="1:9" x14ac:dyDescent="0.35">
      <c r="A527" t="s">
        <v>2357</v>
      </c>
      <c r="B527" t="str">
        <f>"9780253010506"</f>
        <v>9780253010506</v>
      </c>
      <c r="C527" t="s">
        <v>2361</v>
      </c>
      <c r="D527" t="s">
        <v>2359</v>
      </c>
      <c r="E527" t="s">
        <v>69</v>
      </c>
      <c r="F527" t="s">
        <v>2358</v>
      </c>
      <c r="H527" t="s">
        <v>265</v>
      </c>
      <c r="I527" t="s">
        <v>2360</v>
      </c>
    </row>
    <row r="528" spans="1:9" x14ac:dyDescent="0.35">
      <c r="A528" t="s">
        <v>2362</v>
      </c>
      <c r="B528" t="str">
        <f>"9780857459817"</f>
        <v>9780857459817</v>
      </c>
      <c r="C528" t="s">
        <v>2365</v>
      </c>
      <c r="D528" t="s">
        <v>2363</v>
      </c>
      <c r="E528" t="s">
        <v>1128</v>
      </c>
      <c r="H528" t="s">
        <v>111</v>
      </c>
      <c r="I528" t="s">
        <v>2364</v>
      </c>
    </row>
    <row r="529" spans="1:9" x14ac:dyDescent="0.35">
      <c r="A529" t="s">
        <v>2366</v>
      </c>
      <c r="B529" t="str">
        <f>"9780810891906"</f>
        <v>9780810891906</v>
      </c>
      <c r="C529" t="s">
        <v>2370</v>
      </c>
      <c r="D529" t="s">
        <v>2368</v>
      </c>
      <c r="E529" t="s">
        <v>478</v>
      </c>
      <c r="F529" t="s">
        <v>2367</v>
      </c>
      <c r="H529" t="s">
        <v>23</v>
      </c>
      <c r="I529" t="s">
        <v>2369</v>
      </c>
    </row>
    <row r="530" spans="1:9" x14ac:dyDescent="0.35">
      <c r="A530" t="s">
        <v>2371</v>
      </c>
      <c r="B530" t="str">
        <f>"9781452940298"</f>
        <v>9781452940298</v>
      </c>
      <c r="C530" t="s">
        <v>2374</v>
      </c>
      <c r="D530" t="s">
        <v>2372</v>
      </c>
      <c r="E530" t="s">
        <v>119</v>
      </c>
      <c r="H530" t="s">
        <v>29</v>
      </c>
      <c r="I530" t="s">
        <v>2373</v>
      </c>
    </row>
    <row r="531" spans="1:9" x14ac:dyDescent="0.35">
      <c r="A531" t="s">
        <v>2375</v>
      </c>
      <c r="B531" t="str">
        <f>"9781611322941"</f>
        <v>9781611322941</v>
      </c>
      <c r="C531" t="s">
        <v>2378</v>
      </c>
      <c r="D531" t="s">
        <v>2376</v>
      </c>
      <c r="E531" t="s">
        <v>9</v>
      </c>
      <c r="H531" t="s">
        <v>111</v>
      </c>
      <c r="I531" t="s">
        <v>2377</v>
      </c>
    </row>
    <row r="532" spans="1:9" x14ac:dyDescent="0.35">
      <c r="A532" t="s">
        <v>2379</v>
      </c>
      <c r="B532" t="str">
        <f>"9780803248946"</f>
        <v>9780803248946</v>
      </c>
      <c r="C532" t="s">
        <v>2382</v>
      </c>
      <c r="D532" t="s">
        <v>2380</v>
      </c>
      <c r="E532" t="s">
        <v>874</v>
      </c>
      <c r="H532" t="s">
        <v>111</v>
      </c>
      <c r="I532" t="s">
        <v>2381</v>
      </c>
    </row>
    <row r="533" spans="1:9" x14ac:dyDescent="0.35">
      <c r="A533" t="s">
        <v>2383</v>
      </c>
      <c r="B533" t="str">
        <f>"9780803249592"</f>
        <v>9780803249592</v>
      </c>
      <c r="C533" t="s">
        <v>2386</v>
      </c>
      <c r="D533" t="s">
        <v>2384</v>
      </c>
      <c r="E533" t="s">
        <v>1363</v>
      </c>
      <c r="H533" t="s">
        <v>82</v>
      </c>
      <c r="I533" t="s">
        <v>2385</v>
      </c>
    </row>
    <row r="534" spans="1:9" x14ac:dyDescent="0.35">
      <c r="A534" t="s">
        <v>2387</v>
      </c>
      <c r="B534" t="str">
        <f>"9781317922704"</f>
        <v>9781317922704</v>
      </c>
      <c r="C534" t="s">
        <v>2391</v>
      </c>
      <c r="D534" t="s">
        <v>2388</v>
      </c>
      <c r="E534" t="s">
        <v>9</v>
      </c>
      <c r="H534" t="s">
        <v>2389</v>
      </c>
      <c r="I534" t="s">
        <v>2390</v>
      </c>
    </row>
    <row r="535" spans="1:9" x14ac:dyDescent="0.35">
      <c r="A535" t="s">
        <v>2392</v>
      </c>
      <c r="B535" t="str">
        <f>"9781400849314"</f>
        <v>9781400849314</v>
      </c>
      <c r="C535" t="s">
        <v>2396</v>
      </c>
      <c r="D535" t="s">
        <v>2394</v>
      </c>
      <c r="E535" t="s">
        <v>2393</v>
      </c>
      <c r="H535" t="s">
        <v>265</v>
      </c>
      <c r="I535" t="s">
        <v>2395</v>
      </c>
    </row>
    <row r="536" spans="1:9" x14ac:dyDescent="0.35">
      <c r="A536" t="s">
        <v>2397</v>
      </c>
      <c r="B536" t="str">
        <f>"9781610487870"</f>
        <v>9781610487870</v>
      </c>
      <c r="C536" t="s">
        <v>2401</v>
      </c>
      <c r="D536" t="s">
        <v>2399</v>
      </c>
      <c r="E536" t="s">
        <v>2398</v>
      </c>
      <c r="H536" t="s">
        <v>1296</v>
      </c>
      <c r="I536" t="s">
        <v>2400</v>
      </c>
    </row>
    <row r="537" spans="1:9" x14ac:dyDescent="0.35">
      <c r="A537" t="s">
        <v>2402</v>
      </c>
      <c r="B537" t="str">
        <f>"9781452941745"</f>
        <v>9781452941745</v>
      </c>
      <c r="C537" t="s">
        <v>2405</v>
      </c>
      <c r="D537" t="s">
        <v>2403</v>
      </c>
      <c r="E537" t="s">
        <v>119</v>
      </c>
      <c r="F537" t="s">
        <v>120</v>
      </c>
      <c r="H537" t="s">
        <v>265</v>
      </c>
      <c r="I537" t="s">
        <v>2404</v>
      </c>
    </row>
    <row r="538" spans="1:9" x14ac:dyDescent="0.35">
      <c r="A538" t="s">
        <v>2406</v>
      </c>
      <c r="B538" t="str">
        <f>"9780803249578"</f>
        <v>9780803249578</v>
      </c>
      <c r="C538" t="s">
        <v>2411</v>
      </c>
      <c r="D538" t="s">
        <v>2409</v>
      </c>
      <c r="E538" t="s">
        <v>2407</v>
      </c>
      <c r="F538" t="s">
        <v>2408</v>
      </c>
      <c r="H538" t="s">
        <v>111</v>
      </c>
      <c r="I538" t="s">
        <v>2410</v>
      </c>
    </row>
    <row r="539" spans="1:9" x14ac:dyDescent="0.35">
      <c r="A539" t="s">
        <v>2412</v>
      </c>
      <c r="B539" t="str">
        <f>"9780520956742"</f>
        <v>9780520956742</v>
      </c>
      <c r="C539" t="s">
        <v>2415</v>
      </c>
      <c r="D539" t="s">
        <v>2413</v>
      </c>
      <c r="E539" t="s">
        <v>42</v>
      </c>
      <c r="H539" t="s">
        <v>82</v>
      </c>
      <c r="I539" t="s">
        <v>2414</v>
      </c>
    </row>
    <row r="540" spans="1:9" x14ac:dyDescent="0.35">
      <c r="A540" t="s">
        <v>2416</v>
      </c>
      <c r="B540" t="str">
        <f>"9781107703711"</f>
        <v>9781107703711</v>
      </c>
      <c r="C540" t="s">
        <v>2419</v>
      </c>
      <c r="D540" t="s">
        <v>2417</v>
      </c>
      <c r="E540" t="s">
        <v>53</v>
      </c>
      <c r="H540" t="s">
        <v>147</v>
      </c>
      <c r="I540" t="s">
        <v>2418</v>
      </c>
    </row>
    <row r="541" spans="1:9" x14ac:dyDescent="0.35">
      <c r="A541" t="s">
        <v>2420</v>
      </c>
      <c r="B541" t="str">
        <f>"9780803249493"</f>
        <v>9780803249493</v>
      </c>
      <c r="C541" t="s">
        <v>2423</v>
      </c>
      <c r="D541" t="s">
        <v>2421</v>
      </c>
      <c r="E541" t="s">
        <v>1363</v>
      </c>
      <c r="H541" t="s">
        <v>23</v>
      </c>
      <c r="I541" t="s">
        <v>2422</v>
      </c>
    </row>
    <row r="542" spans="1:9" x14ac:dyDescent="0.35">
      <c r="A542" t="s">
        <v>2424</v>
      </c>
      <c r="B542" t="str">
        <f>"9780803249455"</f>
        <v>9780803249455</v>
      </c>
      <c r="C542" t="s">
        <v>2427</v>
      </c>
      <c r="D542" t="s">
        <v>2425</v>
      </c>
      <c r="E542" t="s">
        <v>874</v>
      </c>
      <c r="H542" t="s">
        <v>1296</v>
      </c>
      <c r="I542" t="s">
        <v>2426</v>
      </c>
    </row>
    <row r="543" spans="1:9" x14ac:dyDescent="0.35">
      <c r="A543" t="s">
        <v>2428</v>
      </c>
      <c r="B543" t="str">
        <f>"9780826353900"</f>
        <v>9780826353900</v>
      </c>
      <c r="C543" t="s">
        <v>2431</v>
      </c>
      <c r="D543" t="s">
        <v>2429</v>
      </c>
      <c r="E543" t="s">
        <v>1874</v>
      </c>
      <c r="H543" t="s">
        <v>216</v>
      </c>
      <c r="I543" t="s">
        <v>2430</v>
      </c>
    </row>
    <row r="544" spans="1:9" x14ac:dyDescent="0.35">
      <c r="A544" t="s">
        <v>2432</v>
      </c>
      <c r="B544" t="str">
        <f>"9780813048581"</f>
        <v>9780813048581</v>
      </c>
      <c r="C544" t="s">
        <v>2435</v>
      </c>
      <c r="D544" t="s">
        <v>2433</v>
      </c>
      <c r="E544" t="s">
        <v>1227</v>
      </c>
      <c r="H544" t="s">
        <v>29</v>
      </c>
      <c r="I544" t="s">
        <v>2434</v>
      </c>
    </row>
    <row r="545" spans="1:9" x14ac:dyDescent="0.35">
      <c r="A545" t="s">
        <v>2436</v>
      </c>
      <c r="B545" t="str">
        <f>"9780813048642"</f>
        <v>9780813048642</v>
      </c>
      <c r="C545" t="s">
        <v>2439</v>
      </c>
      <c r="D545" t="s">
        <v>2437</v>
      </c>
      <c r="E545" t="s">
        <v>1227</v>
      </c>
      <c r="H545" t="s">
        <v>29</v>
      </c>
      <c r="I545" t="s">
        <v>2438</v>
      </c>
    </row>
    <row r="546" spans="1:9" x14ac:dyDescent="0.35">
      <c r="A546" t="s">
        <v>2440</v>
      </c>
      <c r="B546" t="str">
        <f>"9781614515470"</f>
        <v>9781614515470</v>
      </c>
      <c r="C546" t="s">
        <v>2444</v>
      </c>
      <c r="D546" t="s">
        <v>2442</v>
      </c>
      <c r="E546" t="s">
        <v>144</v>
      </c>
      <c r="F546" t="s">
        <v>2441</v>
      </c>
      <c r="H546" t="s">
        <v>636</v>
      </c>
      <c r="I546" t="s">
        <v>2443</v>
      </c>
    </row>
    <row r="547" spans="1:9" x14ac:dyDescent="0.35">
      <c r="A547" t="s">
        <v>2445</v>
      </c>
      <c r="B547" t="str">
        <f>"9789004259980"</f>
        <v>9789004259980</v>
      </c>
      <c r="C547" t="s">
        <v>2450</v>
      </c>
      <c r="D547" t="s">
        <v>2447</v>
      </c>
      <c r="E547" t="s">
        <v>483</v>
      </c>
      <c r="F547" t="s">
        <v>2446</v>
      </c>
      <c r="H547" t="s">
        <v>2448</v>
      </c>
      <c r="I547" t="s">
        <v>2449</v>
      </c>
    </row>
    <row r="548" spans="1:9" x14ac:dyDescent="0.35">
      <c r="A548" t="s">
        <v>2451</v>
      </c>
      <c r="B548" t="str">
        <f>"9789004252363"</f>
        <v>9789004252363</v>
      </c>
      <c r="C548" t="s">
        <v>2455</v>
      </c>
      <c r="D548" t="s">
        <v>2452</v>
      </c>
      <c r="E548" t="s">
        <v>483</v>
      </c>
      <c r="F548" t="s">
        <v>1703</v>
      </c>
      <c r="H548" t="s">
        <v>2453</v>
      </c>
      <c r="I548" t="s">
        <v>2454</v>
      </c>
    </row>
    <row r="549" spans="1:9" x14ac:dyDescent="0.35">
      <c r="A549" t="s">
        <v>2456</v>
      </c>
      <c r="B549" t="str">
        <f>"9781442229624"</f>
        <v>9781442229624</v>
      </c>
      <c r="C549" t="s">
        <v>2460</v>
      </c>
      <c r="D549" t="s">
        <v>2458</v>
      </c>
      <c r="E549" t="s">
        <v>948</v>
      </c>
      <c r="F549" t="s">
        <v>2457</v>
      </c>
      <c r="H549" t="s">
        <v>201</v>
      </c>
      <c r="I549" t="s">
        <v>2459</v>
      </c>
    </row>
    <row r="550" spans="1:9" x14ac:dyDescent="0.35">
      <c r="A550" t="s">
        <v>2461</v>
      </c>
      <c r="B550" t="str">
        <f>"9781922084330"</f>
        <v>9781922084330</v>
      </c>
      <c r="C550" t="s">
        <v>2466</v>
      </c>
      <c r="D550" t="s">
        <v>2464</v>
      </c>
      <c r="E550" t="s">
        <v>2462</v>
      </c>
      <c r="F550" t="s">
        <v>2463</v>
      </c>
      <c r="H550" t="s">
        <v>38</v>
      </c>
      <c r="I550" t="s">
        <v>2465</v>
      </c>
    </row>
    <row r="551" spans="1:9" x14ac:dyDescent="0.35">
      <c r="A551" t="s">
        <v>2467</v>
      </c>
      <c r="B551" t="str">
        <f>"9780826338426"</f>
        <v>9780826338426</v>
      </c>
      <c r="C551" t="s">
        <v>2470</v>
      </c>
      <c r="D551" t="s">
        <v>2468</v>
      </c>
      <c r="E551" t="s">
        <v>1874</v>
      </c>
      <c r="F551" t="s">
        <v>2225</v>
      </c>
      <c r="H551" t="s">
        <v>29</v>
      </c>
      <c r="I551" t="s">
        <v>2469</v>
      </c>
    </row>
    <row r="552" spans="1:9" x14ac:dyDescent="0.35">
      <c r="A552" t="s">
        <v>2471</v>
      </c>
      <c r="B552" t="str">
        <f>"9781922059444"</f>
        <v>9781922059444</v>
      </c>
      <c r="C552" t="s">
        <v>2475</v>
      </c>
      <c r="D552" t="s">
        <v>2472</v>
      </c>
      <c r="E552" t="s">
        <v>1345</v>
      </c>
      <c r="H552" t="s">
        <v>2473</v>
      </c>
      <c r="I552" t="s">
        <v>2474</v>
      </c>
    </row>
    <row r="553" spans="1:9" x14ac:dyDescent="0.35">
      <c r="A553" t="s">
        <v>2476</v>
      </c>
      <c r="B553" t="str">
        <f>"9781922059406"</f>
        <v>9781922059406</v>
      </c>
      <c r="C553" t="s">
        <v>2479</v>
      </c>
      <c r="D553" t="s">
        <v>2477</v>
      </c>
      <c r="E553" t="s">
        <v>1345</v>
      </c>
      <c r="H553" t="s">
        <v>265</v>
      </c>
      <c r="I553" t="s">
        <v>2478</v>
      </c>
    </row>
    <row r="554" spans="1:9" x14ac:dyDescent="0.35">
      <c r="A554" t="s">
        <v>2480</v>
      </c>
      <c r="B554" t="str">
        <f>"9781620970034"</f>
        <v>9781620970034</v>
      </c>
      <c r="C554" t="s">
        <v>2484</v>
      </c>
      <c r="D554" t="s">
        <v>2482</v>
      </c>
      <c r="E554" t="s">
        <v>2481</v>
      </c>
      <c r="H554" t="s">
        <v>111</v>
      </c>
      <c r="I554" t="s">
        <v>2483</v>
      </c>
    </row>
    <row r="555" spans="1:9" x14ac:dyDescent="0.35">
      <c r="A555" t="s">
        <v>2485</v>
      </c>
      <c r="B555" t="str">
        <f>"9780803254411"</f>
        <v>9780803254411</v>
      </c>
      <c r="C555" t="s">
        <v>2488</v>
      </c>
      <c r="D555" t="s">
        <v>2486</v>
      </c>
      <c r="E555" t="s">
        <v>1363</v>
      </c>
      <c r="H555" t="s">
        <v>29</v>
      </c>
      <c r="I555" t="s">
        <v>2487</v>
      </c>
    </row>
    <row r="556" spans="1:9" x14ac:dyDescent="0.35">
      <c r="A556" t="s">
        <v>2489</v>
      </c>
      <c r="B556" t="str">
        <f>"9780739176641"</f>
        <v>9780739176641</v>
      </c>
      <c r="C556" t="s">
        <v>2492</v>
      </c>
      <c r="D556" t="s">
        <v>2490</v>
      </c>
      <c r="E556" t="s">
        <v>975</v>
      </c>
      <c r="H556" t="s">
        <v>29</v>
      </c>
      <c r="I556" t="s">
        <v>2491</v>
      </c>
    </row>
    <row r="557" spans="1:9" x14ac:dyDescent="0.35">
      <c r="A557" t="s">
        <v>2493</v>
      </c>
      <c r="B557" t="str">
        <f>"9781782384069"</f>
        <v>9781782384069</v>
      </c>
      <c r="C557" t="s">
        <v>2496</v>
      </c>
      <c r="D557" t="s">
        <v>2494</v>
      </c>
      <c r="E557" t="s">
        <v>1128</v>
      </c>
      <c r="H557" t="s">
        <v>82</v>
      </c>
      <c r="I557" t="s">
        <v>2495</v>
      </c>
    </row>
    <row r="558" spans="1:9" x14ac:dyDescent="0.35">
      <c r="A558" t="s">
        <v>2497</v>
      </c>
      <c r="B558" t="str">
        <f>"9780813048857"</f>
        <v>9780813048857</v>
      </c>
      <c r="C558" t="s">
        <v>2500</v>
      </c>
      <c r="D558" t="s">
        <v>2498</v>
      </c>
      <c r="E558" t="s">
        <v>1227</v>
      </c>
      <c r="H558" t="s">
        <v>23</v>
      </c>
      <c r="I558" t="s">
        <v>2499</v>
      </c>
    </row>
    <row r="559" spans="1:9" x14ac:dyDescent="0.35">
      <c r="A559" t="s">
        <v>2501</v>
      </c>
      <c r="B559" t="str">
        <f>"9789004257023"</f>
        <v>9789004257023</v>
      </c>
      <c r="C559" t="s">
        <v>2504</v>
      </c>
      <c r="D559" t="s">
        <v>2502</v>
      </c>
      <c r="E559" t="s">
        <v>483</v>
      </c>
      <c r="F559" t="s">
        <v>1123</v>
      </c>
      <c r="H559" t="s">
        <v>147</v>
      </c>
      <c r="I559" t="s">
        <v>2503</v>
      </c>
    </row>
    <row r="560" spans="1:9" x14ac:dyDescent="0.35">
      <c r="A560" t="s">
        <v>2505</v>
      </c>
      <c r="B560" t="str">
        <f>"9780803254381"</f>
        <v>9780803254381</v>
      </c>
      <c r="C560" t="s">
        <v>2509</v>
      </c>
      <c r="D560" t="s">
        <v>2506</v>
      </c>
      <c r="E560" t="s">
        <v>874</v>
      </c>
      <c r="H560" t="s">
        <v>2507</v>
      </c>
      <c r="I560" t="s">
        <v>2508</v>
      </c>
    </row>
    <row r="561" spans="1:9" x14ac:dyDescent="0.35">
      <c r="A561" t="s">
        <v>2510</v>
      </c>
      <c r="B561" t="str">
        <f>"9780702252433"</f>
        <v>9780702252433</v>
      </c>
      <c r="C561" t="s">
        <v>2513</v>
      </c>
      <c r="D561" t="s">
        <v>2511</v>
      </c>
      <c r="E561" t="s">
        <v>2157</v>
      </c>
      <c r="H561" t="s">
        <v>29</v>
      </c>
      <c r="I561" t="s">
        <v>2512</v>
      </c>
    </row>
    <row r="562" spans="1:9" x14ac:dyDescent="0.35">
      <c r="A562" t="s">
        <v>2514</v>
      </c>
      <c r="B562" t="str">
        <f>"9780739188057"</f>
        <v>9780739188057</v>
      </c>
      <c r="C562" t="s">
        <v>2517</v>
      </c>
      <c r="D562" t="s">
        <v>2515</v>
      </c>
      <c r="E562" t="s">
        <v>975</v>
      </c>
      <c r="H562" t="s">
        <v>111</v>
      </c>
      <c r="I562" t="s">
        <v>2516</v>
      </c>
    </row>
    <row r="563" spans="1:9" x14ac:dyDescent="0.35">
      <c r="A563" t="s">
        <v>2518</v>
      </c>
      <c r="B563" t="str">
        <f>"9781775587026"</f>
        <v>9781775587026</v>
      </c>
      <c r="C563" t="s">
        <v>2522</v>
      </c>
      <c r="D563" t="s">
        <v>2520</v>
      </c>
      <c r="E563" t="s">
        <v>2519</v>
      </c>
      <c r="H563" t="s">
        <v>29</v>
      </c>
      <c r="I563" t="s">
        <v>2521</v>
      </c>
    </row>
    <row r="564" spans="1:9" x14ac:dyDescent="0.35">
      <c r="A564" t="s">
        <v>2523</v>
      </c>
      <c r="B564" t="str">
        <f>"9781783507047"</f>
        <v>9781783507047</v>
      </c>
      <c r="C564" t="s">
        <v>2527</v>
      </c>
      <c r="D564" t="s">
        <v>2525</v>
      </c>
      <c r="E564" t="s">
        <v>2198</v>
      </c>
      <c r="F564" t="s">
        <v>2524</v>
      </c>
      <c r="H564" t="s">
        <v>851</v>
      </c>
      <c r="I564" t="s">
        <v>2526</v>
      </c>
    </row>
    <row r="565" spans="1:9" x14ac:dyDescent="0.35">
      <c r="A565" t="s">
        <v>2528</v>
      </c>
      <c r="B565" t="str">
        <f>"9780803255302"</f>
        <v>9780803255302</v>
      </c>
      <c r="C565" t="s">
        <v>2531</v>
      </c>
      <c r="D565" t="s">
        <v>2529</v>
      </c>
      <c r="E565" t="s">
        <v>1363</v>
      </c>
      <c r="F565" t="s">
        <v>1526</v>
      </c>
      <c r="H565" t="s">
        <v>29</v>
      </c>
      <c r="I565" t="s">
        <v>2530</v>
      </c>
    </row>
    <row r="566" spans="1:9" x14ac:dyDescent="0.35">
      <c r="A566" t="s">
        <v>2532</v>
      </c>
      <c r="B566" t="str">
        <f>"9781849351898"</f>
        <v>9781849351898</v>
      </c>
      <c r="C566" t="s">
        <v>2536</v>
      </c>
      <c r="D566" t="s">
        <v>2533</v>
      </c>
      <c r="E566" t="s">
        <v>904</v>
      </c>
      <c r="H566" t="s">
        <v>2534</v>
      </c>
      <c r="I566" t="s">
        <v>2535</v>
      </c>
    </row>
    <row r="567" spans="1:9" x14ac:dyDescent="0.35">
      <c r="A567" t="s">
        <v>2537</v>
      </c>
      <c r="B567" t="str">
        <f>"9789401210423"</f>
        <v>9789401210423</v>
      </c>
      <c r="C567" t="s">
        <v>2540</v>
      </c>
      <c r="D567" t="s">
        <v>2538</v>
      </c>
      <c r="E567" t="s">
        <v>483</v>
      </c>
      <c r="F567" t="s">
        <v>1166</v>
      </c>
      <c r="H567" t="s">
        <v>82</v>
      </c>
      <c r="I567" t="s">
        <v>2539</v>
      </c>
    </row>
    <row r="568" spans="1:9" x14ac:dyDescent="0.35">
      <c r="A568" t="s">
        <v>2541</v>
      </c>
      <c r="B568" t="str">
        <f>"9789401210584"</f>
        <v>9789401210584</v>
      </c>
      <c r="C568" t="s">
        <v>2546</v>
      </c>
      <c r="D568" t="s">
        <v>2544</v>
      </c>
      <c r="E568" t="s">
        <v>2542</v>
      </c>
      <c r="F568" t="s">
        <v>2543</v>
      </c>
      <c r="H568" t="s">
        <v>111</v>
      </c>
      <c r="I568" t="s">
        <v>2545</v>
      </c>
    </row>
    <row r="569" spans="1:9" x14ac:dyDescent="0.35">
      <c r="A569" t="s">
        <v>2547</v>
      </c>
      <c r="B569" t="str">
        <f>"9780803273795"</f>
        <v>9780803273795</v>
      </c>
      <c r="C569" t="s">
        <v>2551</v>
      </c>
      <c r="D569" t="s">
        <v>2549</v>
      </c>
      <c r="E569" t="s">
        <v>2548</v>
      </c>
      <c r="F569" t="s">
        <v>2408</v>
      </c>
      <c r="H569" t="s">
        <v>29</v>
      </c>
      <c r="I569" t="s">
        <v>2550</v>
      </c>
    </row>
    <row r="570" spans="1:9" x14ac:dyDescent="0.35">
      <c r="A570" t="s">
        <v>2552</v>
      </c>
      <c r="B570" t="str">
        <f>"9789004254442"</f>
        <v>9789004254442</v>
      </c>
      <c r="C570" t="s">
        <v>2556</v>
      </c>
      <c r="D570" t="s">
        <v>2554</v>
      </c>
      <c r="E570" t="s">
        <v>483</v>
      </c>
      <c r="F570" t="s">
        <v>2553</v>
      </c>
      <c r="H570" t="s">
        <v>1820</v>
      </c>
      <c r="I570" t="s">
        <v>2555</v>
      </c>
    </row>
    <row r="571" spans="1:9" x14ac:dyDescent="0.35">
      <c r="A571" t="s">
        <v>2557</v>
      </c>
      <c r="B571" t="str">
        <f>"9789004272415"</f>
        <v>9789004272415</v>
      </c>
      <c r="C571" t="s">
        <v>2560</v>
      </c>
      <c r="D571" t="s">
        <v>2558</v>
      </c>
      <c r="E571" t="s">
        <v>483</v>
      </c>
      <c r="F571" t="s">
        <v>1123</v>
      </c>
      <c r="H571" t="s">
        <v>147</v>
      </c>
      <c r="I571" t="s">
        <v>2559</v>
      </c>
    </row>
    <row r="572" spans="1:9" x14ac:dyDescent="0.35">
      <c r="A572" t="s">
        <v>2561</v>
      </c>
      <c r="B572" t="str">
        <f>"9780813048970"</f>
        <v>9780813048970</v>
      </c>
      <c r="C572" t="s">
        <v>2564</v>
      </c>
      <c r="D572" t="s">
        <v>2562</v>
      </c>
      <c r="E572" t="s">
        <v>1227</v>
      </c>
      <c r="F572" t="s">
        <v>1668</v>
      </c>
      <c r="H572" t="s">
        <v>29</v>
      </c>
      <c r="I572" t="s">
        <v>2563</v>
      </c>
    </row>
    <row r="573" spans="1:9" x14ac:dyDescent="0.35">
      <c r="A573" t="s">
        <v>2565</v>
      </c>
      <c r="B573" t="str">
        <f>"9780803273894"</f>
        <v>9780803273894</v>
      </c>
      <c r="C573" t="s">
        <v>2568</v>
      </c>
      <c r="D573" t="s">
        <v>2566</v>
      </c>
      <c r="E573" t="s">
        <v>874</v>
      </c>
      <c r="F573" t="s">
        <v>186</v>
      </c>
      <c r="H573" t="s">
        <v>29</v>
      </c>
      <c r="I573" t="s">
        <v>2567</v>
      </c>
    </row>
    <row r="574" spans="1:9" x14ac:dyDescent="0.35">
      <c r="A574" t="s">
        <v>2569</v>
      </c>
      <c r="B574" t="str">
        <f>"9789027270474"</f>
        <v>9789027270474</v>
      </c>
      <c r="C574" t="s">
        <v>2573</v>
      </c>
      <c r="D574" t="s">
        <v>2571</v>
      </c>
      <c r="E574" t="s">
        <v>883</v>
      </c>
      <c r="F574" t="s">
        <v>2570</v>
      </c>
      <c r="H574" t="s">
        <v>636</v>
      </c>
      <c r="I574" t="s">
        <v>2572</v>
      </c>
    </row>
    <row r="575" spans="1:9" x14ac:dyDescent="0.35">
      <c r="A575" t="s">
        <v>2574</v>
      </c>
      <c r="B575" t="str">
        <f>"9780803267756"</f>
        <v>9780803267756</v>
      </c>
      <c r="C575" t="s">
        <v>2577</v>
      </c>
      <c r="D575" t="s">
        <v>2575</v>
      </c>
      <c r="E575" t="s">
        <v>874</v>
      </c>
      <c r="H575" t="s">
        <v>29</v>
      </c>
      <c r="I575" t="s">
        <v>2576</v>
      </c>
    </row>
    <row r="576" spans="1:9" x14ac:dyDescent="0.35">
      <c r="A576" t="s">
        <v>2578</v>
      </c>
      <c r="B576" t="str">
        <f>"9781452942063"</f>
        <v>9781452942063</v>
      </c>
      <c r="C576" t="s">
        <v>2581</v>
      </c>
      <c r="D576" t="s">
        <v>2579</v>
      </c>
      <c r="E576" t="s">
        <v>119</v>
      </c>
      <c r="H576" t="s">
        <v>23</v>
      </c>
      <c r="I576" t="s">
        <v>2580</v>
      </c>
    </row>
    <row r="577" spans="1:9" x14ac:dyDescent="0.35">
      <c r="A577" t="s">
        <v>2582</v>
      </c>
      <c r="B577" t="str">
        <f>"9781452941202"</f>
        <v>9781452941202</v>
      </c>
      <c r="C577" t="s">
        <v>2586</v>
      </c>
      <c r="D577" t="s">
        <v>2583</v>
      </c>
      <c r="E577" t="s">
        <v>119</v>
      </c>
      <c r="F577" t="s">
        <v>939</v>
      </c>
      <c r="H577" t="s">
        <v>2584</v>
      </c>
      <c r="I577" t="s">
        <v>2585</v>
      </c>
    </row>
    <row r="578" spans="1:9" x14ac:dyDescent="0.35">
      <c r="A578" t="s">
        <v>2587</v>
      </c>
      <c r="B578" t="str">
        <f>"9789004274136"</f>
        <v>9789004274136</v>
      </c>
      <c r="C578" t="s">
        <v>2591</v>
      </c>
      <c r="D578" t="s">
        <v>2589</v>
      </c>
      <c r="E578" t="s">
        <v>483</v>
      </c>
      <c r="F578" t="s">
        <v>2588</v>
      </c>
      <c r="H578" t="s">
        <v>87</v>
      </c>
      <c r="I578" t="s">
        <v>2590</v>
      </c>
    </row>
    <row r="579" spans="1:9" x14ac:dyDescent="0.35">
      <c r="A579" t="s">
        <v>2592</v>
      </c>
      <c r="B579" t="str">
        <f>"9780826354730"</f>
        <v>9780826354730</v>
      </c>
      <c r="C579" t="s">
        <v>2595</v>
      </c>
      <c r="D579" t="s">
        <v>2593</v>
      </c>
      <c r="E579" t="s">
        <v>1874</v>
      </c>
      <c r="H579" t="s">
        <v>29</v>
      </c>
      <c r="I579" t="s">
        <v>2594</v>
      </c>
    </row>
    <row r="580" spans="1:9" x14ac:dyDescent="0.35">
      <c r="A580" t="s">
        <v>2596</v>
      </c>
      <c r="B580" t="str">
        <f>"9780826354754"</f>
        <v>9780826354754</v>
      </c>
      <c r="C580" t="s">
        <v>2600</v>
      </c>
      <c r="D580" t="s">
        <v>2598</v>
      </c>
      <c r="E580" t="s">
        <v>1874</v>
      </c>
      <c r="F580" t="s">
        <v>2597</v>
      </c>
      <c r="H580" t="s">
        <v>1866</v>
      </c>
      <c r="I580" t="s">
        <v>2599</v>
      </c>
    </row>
    <row r="581" spans="1:9" x14ac:dyDescent="0.35">
      <c r="A581" t="s">
        <v>2601</v>
      </c>
      <c r="B581" t="str">
        <f>"9780520958555"</f>
        <v>9780520958555</v>
      </c>
      <c r="C581" t="s">
        <v>2605</v>
      </c>
      <c r="D581" t="s">
        <v>2602</v>
      </c>
      <c r="E581" t="s">
        <v>42</v>
      </c>
      <c r="H581" t="s">
        <v>2603</v>
      </c>
      <c r="I581" t="s">
        <v>2604</v>
      </c>
    </row>
    <row r="582" spans="1:9" x14ac:dyDescent="0.35">
      <c r="A582" t="s">
        <v>2606</v>
      </c>
      <c r="B582" t="str">
        <f>"9781443861618"</f>
        <v>9781443861618</v>
      </c>
      <c r="C582" t="s">
        <v>2609</v>
      </c>
      <c r="D582" t="s">
        <v>2607</v>
      </c>
      <c r="E582" t="s">
        <v>1829</v>
      </c>
      <c r="H582" t="s">
        <v>23</v>
      </c>
      <c r="I582" t="s">
        <v>2608</v>
      </c>
    </row>
    <row r="583" spans="1:9" x14ac:dyDescent="0.35">
      <c r="A583" t="s">
        <v>2610</v>
      </c>
      <c r="B583" t="str">
        <f>"9780804792127"</f>
        <v>9780804792127</v>
      </c>
      <c r="C583" t="s">
        <v>2613</v>
      </c>
      <c r="D583" t="s">
        <v>2611</v>
      </c>
      <c r="E583" t="s">
        <v>597</v>
      </c>
      <c r="H583" t="s">
        <v>29</v>
      </c>
      <c r="I583" t="s">
        <v>2612</v>
      </c>
    </row>
    <row r="584" spans="1:9" x14ac:dyDescent="0.35">
      <c r="A584" t="s">
        <v>2614</v>
      </c>
      <c r="B584" t="str">
        <f>"9781459728943"</f>
        <v>9781459728943</v>
      </c>
      <c r="C584" t="s">
        <v>2619</v>
      </c>
      <c r="D584" t="s">
        <v>2617</v>
      </c>
      <c r="E584" t="s">
        <v>2615</v>
      </c>
      <c r="F584" t="s">
        <v>2616</v>
      </c>
      <c r="H584" t="s">
        <v>29</v>
      </c>
      <c r="I584" t="s">
        <v>2618</v>
      </c>
    </row>
    <row r="585" spans="1:9" x14ac:dyDescent="0.35">
      <c r="A585" t="s">
        <v>2620</v>
      </c>
      <c r="B585" t="str">
        <f>"9780817382513"</f>
        <v>9780817382513</v>
      </c>
      <c r="C585" t="s">
        <v>2623</v>
      </c>
      <c r="D585" t="s">
        <v>2621</v>
      </c>
      <c r="E585" t="s">
        <v>269</v>
      </c>
      <c r="H585" t="s">
        <v>29</v>
      </c>
      <c r="I585" t="s">
        <v>2622</v>
      </c>
    </row>
    <row r="586" spans="1:9" x14ac:dyDescent="0.35">
      <c r="A586" t="s">
        <v>2624</v>
      </c>
      <c r="B586" t="str">
        <f>"9780817381202"</f>
        <v>9780817381202</v>
      </c>
      <c r="C586" t="s">
        <v>2627</v>
      </c>
      <c r="D586" t="s">
        <v>2625</v>
      </c>
      <c r="E586" t="s">
        <v>269</v>
      </c>
      <c r="F586" t="s">
        <v>274</v>
      </c>
      <c r="H586" t="s">
        <v>29</v>
      </c>
      <c r="I586" t="s">
        <v>2626</v>
      </c>
    </row>
    <row r="587" spans="1:9" x14ac:dyDescent="0.35">
      <c r="A587" t="s">
        <v>2628</v>
      </c>
      <c r="B587" t="str">
        <f>"9780803276567"</f>
        <v>9780803276567</v>
      </c>
      <c r="C587" t="s">
        <v>2631</v>
      </c>
      <c r="D587" t="s">
        <v>2629</v>
      </c>
      <c r="E587" t="s">
        <v>874</v>
      </c>
      <c r="H587" t="s">
        <v>111</v>
      </c>
      <c r="I587" t="s">
        <v>2630</v>
      </c>
    </row>
    <row r="588" spans="1:9" x14ac:dyDescent="0.35">
      <c r="A588" t="s">
        <v>2632</v>
      </c>
      <c r="B588" t="str">
        <f>"9781909493797"</f>
        <v>9781909493797</v>
      </c>
      <c r="C588" t="s">
        <v>2635</v>
      </c>
      <c r="D588" t="s">
        <v>2633</v>
      </c>
      <c r="E588" t="s">
        <v>9</v>
      </c>
      <c r="H588" t="s">
        <v>1638</v>
      </c>
      <c r="I588" t="s">
        <v>2634</v>
      </c>
    </row>
    <row r="589" spans="1:9" x14ac:dyDescent="0.35">
      <c r="A589" t="s">
        <v>2636</v>
      </c>
      <c r="B589" t="str">
        <f>"9781611329414"</f>
        <v>9781611329414</v>
      </c>
      <c r="C589" t="s">
        <v>2639</v>
      </c>
      <c r="D589" t="s">
        <v>2637</v>
      </c>
      <c r="E589" t="s">
        <v>9</v>
      </c>
      <c r="H589" t="s">
        <v>111</v>
      </c>
      <c r="I589" t="s">
        <v>2638</v>
      </c>
    </row>
    <row r="590" spans="1:9" x14ac:dyDescent="0.35">
      <c r="A590" t="s">
        <v>2640</v>
      </c>
      <c r="B590" t="str">
        <f>"9780821444115"</f>
        <v>9780821444115</v>
      </c>
      <c r="C590" t="s">
        <v>2645</v>
      </c>
      <c r="D590" t="s">
        <v>2643</v>
      </c>
      <c r="E590" t="s">
        <v>2641</v>
      </c>
      <c r="F590" t="s">
        <v>2642</v>
      </c>
      <c r="H590" t="s">
        <v>819</v>
      </c>
      <c r="I590" t="s">
        <v>2644</v>
      </c>
    </row>
    <row r="591" spans="1:9" x14ac:dyDescent="0.35">
      <c r="A591" t="s">
        <v>2646</v>
      </c>
      <c r="B591" t="str">
        <f>"9780520959194"</f>
        <v>9780520959194</v>
      </c>
      <c r="C591" t="s">
        <v>2649</v>
      </c>
      <c r="D591" t="s">
        <v>2647</v>
      </c>
      <c r="E591" t="s">
        <v>42</v>
      </c>
      <c r="F591" t="s">
        <v>1407</v>
      </c>
      <c r="H591" t="s">
        <v>29</v>
      </c>
      <c r="I591" t="s">
        <v>2648</v>
      </c>
    </row>
    <row r="592" spans="1:9" x14ac:dyDescent="0.35">
      <c r="A592" t="s">
        <v>2650</v>
      </c>
      <c r="B592" t="str">
        <f>"9781922084538"</f>
        <v>9781922084538</v>
      </c>
      <c r="C592" t="s">
        <v>2652</v>
      </c>
      <c r="D592" t="s">
        <v>2464</v>
      </c>
      <c r="E592" t="s">
        <v>2462</v>
      </c>
      <c r="F592" t="s">
        <v>2463</v>
      </c>
      <c r="H592" t="s">
        <v>1946</v>
      </c>
      <c r="I592" t="s">
        <v>2651</v>
      </c>
    </row>
    <row r="593" spans="1:9" x14ac:dyDescent="0.35">
      <c r="A593" t="s">
        <v>2653</v>
      </c>
      <c r="B593" t="str">
        <f>"9780817383442"</f>
        <v>9780817383442</v>
      </c>
      <c r="C593" t="s">
        <v>2656</v>
      </c>
      <c r="D593" t="s">
        <v>2654</v>
      </c>
      <c r="E593" t="s">
        <v>269</v>
      </c>
      <c r="H593" t="s">
        <v>82</v>
      </c>
      <c r="I593" t="s">
        <v>2655</v>
      </c>
    </row>
    <row r="594" spans="1:9" x14ac:dyDescent="0.35">
      <c r="A594" t="s">
        <v>2657</v>
      </c>
      <c r="B594" t="str">
        <f>"9780896804777"</f>
        <v>9780896804777</v>
      </c>
      <c r="C594" t="s">
        <v>2661</v>
      </c>
      <c r="D594" t="s">
        <v>2659</v>
      </c>
      <c r="E594" t="s">
        <v>2641</v>
      </c>
      <c r="F594" t="s">
        <v>2658</v>
      </c>
      <c r="H594" t="s">
        <v>29</v>
      </c>
      <c r="I594" t="s">
        <v>2660</v>
      </c>
    </row>
    <row r="595" spans="1:9" x14ac:dyDescent="0.35">
      <c r="A595" t="s">
        <v>2662</v>
      </c>
      <c r="B595" t="str">
        <f>"9781442235298"</f>
        <v>9781442235298</v>
      </c>
      <c r="C595" t="s">
        <v>2667</v>
      </c>
      <c r="D595" t="s">
        <v>2664</v>
      </c>
      <c r="E595" t="s">
        <v>948</v>
      </c>
      <c r="F595" t="s">
        <v>2663</v>
      </c>
      <c r="H595" t="s">
        <v>2665</v>
      </c>
      <c r="I595" t="s">
        <v>2666</v>
      </c>
    </row>
    <row r="596" spans="1:9" x14ac:dyDescent="0.35">
      <c r="A596" t="s">
        <v>2668</v>
      </c>
      <c r="B596" t="str">
        <f>"9781611470215"</f>
        <v>9781611470215</v>
      </c>
      <c r="C596" t="s">
        <v>2672</v>
      </c>
      <c r="D596" t="s">
        <v>2670</v>
      </c>
      <c r="E596" t="s">
        <v>2669</v>
      </c>
      <c r="H596" t="s">
        <v>23</v>
      </c>
      <c r="I596" t="s">
        <v>2671</v>
      </c>
    </row>
    <row r="597" spans="1:9" x14ac:dyDescent="0.35">
      <c r="A597" t="s">
        <v>2673</v>
      </c>
      <c r="B597" t="str">
        <f>"9780199388004"</f>
        <v>9780199388004</v>
      </c>
      <c r="C597" t="s">
        <v>2675</v>
      </c>
      <c r="D597" t="s">
        <v>76</v>
      </c>
      <c r="E597" t="s">
        <v>74</v>
      </c>
      <c r="H597" t="s">
        <v>29</v>
      </c>
      <c r="I597" t="s">
        <v>2674</v>
      </c>
    </row>
    <row r="598" spans="1:9" x14ac:dyDescent="0.35">
      <c r="A598" t="s">
        <v>2676</v>
      </c>
      <c r="B598" t="str">
        <f>"9789088902604"</f>
        <v>9789088902604</v>
      </c>
      <c r="C598" t="s">
        <v>2680</v>
      </c>
      <c r="D598" t="s">
        <v>2678</v>
      </c>
      <c r="E598" t="s">
        <v>2098</v>
      </c>
      <c r="F598" t="s">
        <v>2677</v>
      </c>
      <c r="H598" t="s">
        <v>29</v>
      </c>
      <c r="I598" t="s">
        <v>2679</v>
      </c>
    </row>
    <row r="599" spans="1:9" x14ac:dyDescent="0.35">
      <c r="A599" t="s">
        <v>2681</v>
      </c>
      <c r="B599" t="str">
        <f>"9780803269415"</f>
        <v>9780803269415</v>
      </c>
      <c r="C599" t="s">
        <v>2684</v>
      </c>
      <c r="D599" t="s">
        <v>2682</v>
      </c>
      <c r="E599" t="s">
        <v>2548</v>
      </c>
      <c r="H599" t="s">
        <v>29</v>
      </c>
      <c r="I599" t="s">
        <v>2683</v>
      </c>
    </row>
    <row r="600" spans="1:9" x14ac:dyDescent="0.35">
      <c r="A600" t="s">
        <v>2685</v>
      </c>
      <c r="B600" t="str">
        <f>"9781442226944"</f>
        <v>9781442226944</v>
      </c>
      <c r="C600" t="s">
        <v>2688</v>
      </c>
      <c r="D600" t="s">
        <v>2686</v>
      </c>
      <c r="E600" t="s">
        <v>948</v>
      </c>
      <c r="H600" t="s">
        <v>111</v>
      </c>
      <c r="I600" t="s">
        <v>2687</v>
      </c>
    </row>
    <row r="601" spans="1:9" x14ac:dyDescent="0.35">
      <c r="A601" t="s">
        <v>2689</v>
      </c>
      <c r="B601" t="str">
        <f>"9780821443460"</f>
        <v>9780821443460</v>
      </c>
      <c r="C601" t="s">
        <v>2693</v>
      </c>
      <c r="D601" t="s">
        <v>2691</v>
      </c>
      <c r="E601" t="s">
        <v>2641</v>
      </c>
      <c r="F601" t="s">
        <v>2690</v>
      </c>
      <c r="H601" t="s">
        <v>29</v>
      </c>
      <c r="I601" t="s">
        <v>2692</v>
      </c>
    </row>
    <row r="602" spans="1:9" x14ac:dyDescent="0.35">
      <c r="A602" t="s">
        <v>2694</v>
      </c>
      <c r="B602" t="str">
        <f>"9781409447382"</f>
        <v>9781409447382</v>
      </c>
      <c r="C602" t="s">
        <v>2698</v>
      </c>
      <c r="D602" t="s">
        <v>2696</v>
      </c>
      <c r="E602" t="s">
        <v>9</v>
      </c>
      <c r="F602" t="s">
        <v>2695</v>
      </c>
      <c r="H602" t="s">
        <v>233</v>
      </c>
      <c r="I602" t="s">
        <v>2697</v>
      </c>
    </row>
    <row r="603" spans="1:9" x14ac:dyDescent="0.35">
      <c r="A603" t="s">
        <v>2699</v>
      </c>
      <c r="B603" t="str">
        <f>"9781611486117"</f>
        <v>9781611486117</v>
      </c>
      <c r="C603" t="s">
        <v>2704</v>
      </c>
      <c r="D603" t="s">
        <v>2701</v>
      </c>
      <c r="E603" t="s">
        <v>2700</v>
      </c>
      <c r="H603" t="s">
        <v>2702</v>
      </c>
      <c r="I603" t="s">
        <v>2703</v>
      </c>
    </row>
    <row r="604" spans="1:9" x14ac:dyDescent="0.35">
      <c r="A604" t="s">
        <v>2705</v>
      </c>
      <c r="B604" t="str">
        <f>"9783110320640"</f>
        <v>9783110320640</v>
      </c>
      <c r="C604" t="s">
        <v>2708</v>
      </c>
      <c r="D604" t="s">
        <v>2706</v>
      </c>
      <c r="E604" t="s">
        <v>144</v>
      </c>
      <c r="F604" t="s">
        <v>1712</v>
      </c>
      <c r="H604" t="s">
        <v>147</v>
      </c>
      <c r="I604" t="s">
        <v>2707</v>
      </c>
    </row>
    <row r="605" spans="1:9" x14ac:dyDescent="0.35">
      <c r="A605" t="s">
        <v>2709</v>
      </c>
      <c r="B605" t="str">
        <f>"9781443866132"</f>
        <v>9781443866132</v>
      </c>
      <c r="C605" t="s">
        <v>2712</v>
      </c>
      <c r="D605" t="s">
        <v>2710</v>
      </c>
      <c r="E605" t="s">
        <v>1829</v>
      </c>
      <c r="H605" t="s">
        <v>265</v>
      </c>
      <c r="I605" t="s">
        <v>2711</v>
      </c>
    </row>
    <row r="606" spans="1:9" x14ac:dyDescent="0.35">
      <c r="A606" t="s">
        <v>2713</v>
      </c>
      <c r="B606" t="str">
        <f>"9783110341911"</f>
        <v>9783110341911</v>
      </c>
      <c r="C606" t="s">
        <v>2716</v>
      </c>
      <c r="D606" t="s">
        <v>2714</v>
      </c>
      <c r="E606" t="s">
        <v>144</v>
      </c>
      <c r="F606" t="s">
        <v>1712</v>
      </c>
      <c r="H606" t="s">
        <v>147</v>
      </c>
      <c r="I606" t="s">
        <v>2715</v>
      </c>
    </row>
    <row r="607" spans="1:9" x14ac:dyDescent="0.35">
      <c r="A607" t="s">
        <v>2717</v>
      </c>
      <c r="B607" t="str">
        <f>"9781623492342"</f>
        <v>9781623492342</v>
      </c>
      <c r="C607" t="s">
        <v>2720</v>
      </c>
      <c r="D607" t="s">
        <v>2718</v>
      </c>
      <c r="E607" t="s">
        <v>1859</v>
      </c>
      <c r="F607" t="s">
        <v>1860</v>
      </c>
      <c r="H607" t="s">
        <v>29</v>
      </c>
      <c r="I607" t="s">
        <v>2719</v>
      </c>
    </row>
    <row r="608" spans="1:9" x14ac:dyDescent="0.35">
      <c r="A608" t="s">
        <v>2721</v>
      </c>
      <c r="B608" t="str">
        <f>"9781443867351"</f>
        <v>9781443867351</v>
      </c>
      <c r="C608" t="s">
        <v>2724</v>
      </c>
      <c r="D608" t="s">
        <v>2722</v>
      </c>
      <c r="E608" t="s">
        <v>1829</v>
      </c>
      <c r="H608" t="s">
        <v>111</v>
      </c>
      <c r="I608" t="s">
        <v>2723</v>
      </c>
    </row>
    <row r="609" spans="1:9" x14ac:dyDescent="0.35">
      <c r="A609" t="s">
        <v>2725</v>
      </c>
      <c r="B609" t="str">
        <f>"9781452942421"</f>
        <v>9781452942421</v>
      </c>
      <c r="C609" t="s">
        <v>2729</v>
      </c>
      <c r="D609" t="s">
        <v>2727</v>
      </c>
      <c r="E609" t="s">
        <v>119</v>
      </c>
      <c r="F609" t="s">
        <v>2726</v>
      </c>
      <c r="H609" t="s">
        <v>44</v>
      </c>
      <c r="I609" t="s">
        <v>2728</v>
      </c>
    </row>
    <row r="610" spans="1:9" x14ac:dyDescent="0.35">
      <c r="A610" t="s">
        <v>2730</v>
      </c>
      <c r="B610" t="str">
        <f>"9780804040228"</f>
        <v>9780804040228</v>
      </c>
      <c r="C610" t="s">
        <v>2733</v>
      </c>
      <c r="D610" t="s">
        <v>2731</v>
      </c>
      <c r="E610" t="s">
        <v>2641</v>
      </c>
      <c r="H610" t="s">
        <v>29</v>
      </c>
      <c r="I610" t="s">
        <v>2732</v>
      </c>
    </row>
    <row r="611" spans="1:9" x14ac:dyDescent="0.35">
      <c r="A611" t="s">
        <v>2734</v>
      </c>
      <c r="B611" t="str">
        <f>"9781317543602"</f>
        <v>9781317543602</v>
      </c>
      <c r="C611" t="s">
        <v>2738</v>
      </c>
      <c r="D611" t="s">
        <v>2736</v>
      </c>
      <c r="E611" t="s">
        <v>9</v>
      </c>
      <c r="F611" t="s">
        <v>2735</v>
      </c>
      <c r="H611" t="s">
        <v>29</v>
      </c>
      <c r="I611" t="s">
        <v>2737</v>
      </c>
    </row>
    <row r="612" spans="1:9" x14ac:dyDescent="0.35">
      <c r="A612" t="s">
        <v>2739</v>
      </c>
      <c r="B612" t="str">
        <f>"9781922146700"</f>
        <v>9781922146700</v>
      </c>
      <c r="C612" t="s">
        <v>2743</v>
      </c>
      <c r="D612" t="s">
        <v>2741</v>
      </c>
      <c r="E612" t="s">
        <v>2740</v>
      </c>
      <c r="H612" t="s">
        <v>201</v>
      </c>
      <c r="I612" t="s">
        <v>2742</v>
      </c>
    </row>
    <row r="613" spans="1:9" x14ac:dyDescent="0.35">
      <c r="A613" t="s">
        <v>2744</v>
      </c>
      <c r="B613" t="str">
        <f>"9789027269669"</f>
        <v>9789027269669</v>
      </c>
      <c r="C613" t="s">
        <v>2748</v>
      </c>
      <c r="D613" t="s">
        <v>2746</v>
      </c>
      <c r="E613" t="s">
        <v>883</v>
      </c>
      <c r="F613" t="s">
        <v>2745</v>
      </c>
      <c r="H613" t="s">
        <v>147</v>
      </c>
      <c r="I613" t="s">
        <v>2747</v>
      </c>
    </row>
    <row r="614" spans="1:9" x14ac:dyDescent="0.35">
      <c r="A614" t="s">
        <v>2749</v>
      </c>
      <c r="B614" t="str">
        <f>"9781602230927"</f>
        <v>9781602230927</v>
      </c>
      <c r="C614" t="s">
        <v>2753</v>
      </c>
      <c r="D614" t="s">
        <v>2751</v>
      </c>
      <c r="E614" t="s">
        <v>2750</v>
      </c>
      <c r="H614" t="s">
        <v>29</v>
      </c>
      <c r="I614" t="s">
        <v>2752</v>
      </c>
    </row>
    <row r="615" spans="1:9" x14ac:dyDescent="0.35">
      <c r="A615" t="s">
        <v>2754</v>
      </c>
      <c r="B615" t="str">
        <f>"9781602231764"</f>
        <v>9781602231764</v>
      </c>
      <c r="C615" t="s">
        <v>2757</v>
      </c>
      <c r="D615" t="s">
        <v>2755</v>
      </c>
      <c r="E615" t="s">
        <v>2750</v>
      </c>
      <c r="H615" t="s">
        <v>233</v>
      </c>
      <c r="I615" t="s">
        <v>2756</v>
      </c>
    </row>
    <row r="616" spans="1:9" x14ac:dyDescent="0.35">
      <c r="A616" t="s">
        <v>2758</v>
      </c>
      <c r="B616" t="str">
        <f>"9781602231535"</f>
        <v>9781602231535</v>
      </c>
      <c r="C616" t="s">
        <v>2761</v>
      </c>
      <c r="D616" t="s">
        <v>2759</v>
      </c>
      <c r="E616" t="s">
        <v>2750</v>
      </c>
      <c r="H616" t="s">
        <v>29</v>
      </c>
      <c r="I616" t="s">
        <v>2760</v>
      </c>
    </row>
    <row r="617" spans="1:9" x14ac:dyDescent="0.35">
      <c r="A617" t="s">
        <v>2762</v>
      </c>
      <c r="B617" t="str">
        <f>"9781602231450"</f>
        <v>9781602231450</v>
      </c>
      <c r="C617" t="s">
        <v>2765</v>
      </c>
      <c r="D617" t="s">
        <v>2763</v>
      </c>
      <c r="E617" t="s">
        <v>2750</v>
      </c>
      <c r="H617" t="s">
        <v>82</v>
      </c>
      <c r="I617" t="s">
        <v>2764</v>
      </c>
    </row>
    <row r="618" spans="1:9" x14ac:dyDescent="0.35">
      <c r="A618" t="s">
        <v>2766</v>
      </c>
      <c r="B618" t="str">
        <f>"9781602231252"</f>
        <v>9781602231252</v>
      </c>
      <c r="C618" t="s">
        <v>2769</v>
      </c>
      <c r="D618" t="s">
        <v>2767</v>
      </c>
      <c r="E618" t="s">
        <v>2750</v>
      </c>
      <c r="H618" t="s">
        <v>82</v>
      </c>
      <c r="I618" t="s">
        <v>2768</v>
      </c>
    </row>
    <row r="619" spans="1:9" x14ac:dyDescent="0.35">
      <c r="A619" t="s">
        <v>2770</v>
      </c>
      <c r="B619" t="str">
        <f>"9781602231627"</f>
        <v>9781602231627</v>
      </c>
      <c r="C619" t="s">
        <v>2773</v>
      </c>
      <c r="D619" t="s">
        <v>2771</v>
      </c>
      <c r="E619" t="s">
        <v>2750</v>
      </c>
      <c r="H619" t="s">
        <v>265</v>
      </c>
      <c r="I619" t="s">
        <v>2772</v>
      </c>
    </row>
    <row r="620" spans="1:9" x14ac:dyDescent="0.35">
      <c r="A620" t="s">
        <v>2774</v>
      </c>
      <c r="B620" t="str">
        <f>"9781602231146"</f>
        <v>9781602231146</v>
      </c>
      <c r="C620" t="s">
        <v>2777</v>
      </c>
      <c r="D620" t="s">
        <v>2775</v>
      </c>
      <c r="E620" t="s">
        <v>2750</v>
      </c>
      <c r="H620" t="s">
        <v>29</v>
      </c>
      <c r="I620" t="s">
        <v>2776</v>
      </c>
    </row>
    <row r="621" spans="1:9" x14ac:dyDescent="0.35">
      <c r="A621" t="s">
        <v>2778</v>
      </c>
      <c r="B621" t="str">
        <f>"9781602232129"</f>
        <v>9781602232129</v>
      </c>
      <c r="C621" t="s">
        <v>2782</v>
      </c>
      <c r="D621" t="s">
        <v>2780</v>
      </c>
      <c r="E621" t="s">
        <v>2750</v>
      </c>
      <c r="F621" t="s">
        <v>2779</v>
      </c>
      <c r="H621" t="s">
        <v>29</v>
      </c>
      <c r="I621" t="s">
        <v>2781</v>
      </c>
    </row>
    <row r="622" spans="1:9" x14ac:dyDescent="0.35">
      <c r="A622" t="s">
        <v>2783</v>
      </c>
      <c r="B622" t="str">
        <f>"9781602231474"</f>
        <v>9781602231474</v>
      </c>
      <c r="C622" t="s">
        <v>2787</v>
      </c>
      <c r="D622" t="s">
        <v>2784</v>
      </c>
      <c r="E622" t="s">
        <v>2750</v>
      </c>
      <c r="H622" t="s">
        <v>2785</v>
      </c>
      <c r="I622" t="s">
        <v>2786</v>
      </c>
    </row>
    <row r="623" spans="1:9" x14ac:dyDescent="0.35">
      <c r="A623" t="s">
        <v>2788</v>
      </c>
      <c r="B623" t="str">
        <f>"9789027269201"</f>
        <v>9789027269201</v>
      </c>
      <c r="C623" t="s">
        <v>2792</v>
      </c>
      <c r="D623" t="s">
        <v>2790</v>
      </c>
      <c r="E623" t="s">
        <v>883</v>
      </c>
      <c r="F623" t="s">
        <v>2789</v>
      </c>
      <c r="H623" t="s">
        <v>147</v>
      </c>
      <c r="I623" t="s">
        <v>2791</v>
      </c>
    </row>
    <row r="624" spans="1:9" x14ac:dyDescent="0.35">
      <c r="A624" t="s">
        <v>2793</v>
      </c>
      <c r="B624" t="str">
        <f>"9781443871327"</f>
        <v>9781443871327</v>
      </c>
      <c r="C624" t="s">
        <v>2797</v>
      </c>
      <c r="D624" t="s">
        <v>2794</v>
      </c>
      <c r="E624" t="s">
        <v>1829</v>
      </c>
      <c r="H624" t="s">
        <v>2795</v>
      </c>
      <c r="I624" t="s">
        <v>2796</v>
      </c>
    </row>
    <row r="625" spans="1:9" x14ac:dyDescent="0.35">
      <c r="A625" t="s">
        <v>2798</v>
      </c>
      <c r="B625" t="str">
        <f>"9781443871334"</f>
        <v>9781443871334</v>
      </c>
      <c r="C625" t="s">
        <v>2801</v>
      </c>
      <c r="D625" t="s">
        <v>2799</v>
      </c>
      <c r="E625" t="s">
        <v>1829</v>
      </c>
      <c r="H625" t="s">
        <v>201</v>
      </c>
      <c r="I625" t="s">
        <v>2800</v>
      </c>
    </row>
    <row r="626" spans="1:9" x14ac:dyDescent="0.35">
      <c r="A626" t="s">
        <v>2802</v>
      </c>
      <c r="B626" t="str">
        <f>"9781611329841"</f>
        <v>9781611329841</v>
      </c>
      <c r="C626" t="s">
        <v>2805</v>
      </c>
      <c r="D626" t="s">
        <v>2803</v>
      </c>
      <c r="E626" t="s">
        <v>9</v>
      </c>
      <c r="H626" t="s">
        <v>29</v>
      </c>
      <c r="I626" t="s">
        <v>2804</v>
      </c>
    </row>
    <row r="627" spans="1:9" x14ac:dyDescent="0.35">
      <c r="A627" t="s">
        <v>2806</v>
      </c>
      <c r="B627" t="str">
        <f>"9780826355584"</f>
        <v>9780826355584</v>
      </c>
      <c r="C627" t="s">
        <v>2809</v>
      </c>
      <c r="D627" t="s">
        <v>2807</v>
      </c>
      <c r="E627" t="s">
        <v>1874</v>
      </c>
      <c r="H627" t="s">
        <v>982</v>
      </c>
      <c r="I627" t="s">
        <v>2808</v>
      </c>
    </row>
    <row r="628" spans="1:9" x14ac:dyDescent="0.35">
      <c r="A628" t="s">
        <v>2810</v>
      </c>
      <c r="B628" t="str">
        <f>"9780826355645"</f>
        <v>9780826355645</v>
      </c>
      <c r="C628" t="s">
        <v>2813</v>
      </c>
      <c r="D628" t="s">
        <v>2811</v>
      </c>
      <c r="E628" t="s">
        <v>1874</v>
      </c>
      <c r="H628" t="s">
        <v>44</v>
      </c>
      <c r="I628" t="s">
        <v>2812</v>
      </c>
    </row>
    <row r="629" spans="1:9" x14ac:dyDescent="0.35">
      <c r="A629" t="s">
        <v>2814</v>
      </c>
      <c r="B629" t="str">
        <f>"9780813564708"</f>
        <v>9780813564708</v>
      </c>
      <c r="C629" t="s">
        <v>2818</v>
      </c>
      <c r="D629" t="s">
        <v>2815</v>
      </c>
      <c r="E629" t="s">
        <v>258</v>
      </c>
      <c r="H629" t="s">
        <v>2816</v>
      </c>
      <c r="I629" t="s">
        <v>2817</v>
      </c>
    </row>
    <row r="630" spans="1:9" x14ac:dyDescent="0.35">
      <c r="A630" t="s">
        <v>2819</v>
      </c>
      <c r="B630" t="str">
        <f>"9781409445425"</f>
        <v>9781409445425</v>
      </c>
      <c r="C630" t="s">
        <v>2822</v>
      </c>
      <c r="D630" t="s">
        <v>2820</v>
      </c>
      <c r="E630" t="s">
        <v>9</v>
      </c>
      <c r="H630" t="s">
        <v>111</v>
      </c>
      <c r="I630" t="s">
        <v>2821</v>
      </c>
    </row>
    <row r="631" spans="1:9" x14ac:dyDescent="0.35">
      <c r="A631" t="s">
        <v>2823</v>
      </c>
      <c r="B631" t="str">
        <f>"9781443871693"</f>
        <v>9781443871693</v>
      </c>
      <c r="C631" t="s">
        <v>2826</v>
      </c>
      <c r="D631" t="s">
        <v>2824</v>
      </c>
      <c r="E631" t="s">
        <v>1829</v>
      </c>
      <c r="H631" t="s">
        <v>201</v>
      </c>
      <c r="I631" t="s">
        <v>2825</v>
      </c>
    </row>
    <row r="632" spans="1:9" x14ac:dyDescent="0.35">
      <c r="A632" t="s">
        <v>2827</v>
      </c>
      <c r="B632" t="str">
        <f>"9781623492083"</f>
        <v>9781623492083</v>
      </c>
      <c r="C632" t="s">
        <v>2831</v>
      </c>
      <c r="D632" t="s">
        <v>2829</v>
      </c>
      <c r="E632" t="s">
        <v>1859</v>
      </c>
      <c r="F632" t="s">
        <v>2828</v>
      </c>
      <c r="H632" t="s">
        <v>82</v>
      </c>
      <c r="I632" t="s">
        <v>2830</v>
      </c>
    </row>
    <row r="633" spans="1:9" x14ac:dyDescent="0.35">
      <c r="A633" t="s">
        <v>2832</v>
      </c>
      <c r="B633" t="str">
        <f>"9789004282988"</f>
        <v>9789004282988</v>
      </c>
      <c r="C633" t="s">
        <v>2837</v>
      </c>
      <c r="D633" t="s">
        <v>2834</v>
      </c>
      <c r="E633" t="s">
        <v>483</v>
      </c>
      <c r="F633" t="s">
        <v>2833</v>
      </c>
      <c r="H633" t="s">
        <v>2835</v>
      </c>
      <c r="I633" t="s">
        <v>2836</v>
      </c>
    </row>
    <row r="634" spans="1:9" x14ac:dyDescent="0.35">
      <c r="A634" t="s">
        <v>2838</v>
      </c>
      <c r="B634" t="str">
        <f>"9781611687750"</f>
        <v>9781611687750</v>
      </c>
      <c r="C634" t="s">
        <v>2843</v>
      </c>
      <c r="D634" t="s">
        <v>2840</v>
      </c>
      <c r="E634" t="s">
        <v>2839</v>
      </c>
      <c r="H634" t="s">
        <v>2841</v>
      </c>
      <c r="I634" t="s">
        <v>2842</v>
      </c>
    </row>
    <row r="635" spans="1:9" x14ac:dyDescent="0.35">
      <c r="A635" t="s">
        <v>2844</v>
      </c>
      <c r="B635" t="str">
        <f>"9781782385387"</f>
        <v>9781782385387</v>
      </c>
      <c r="C635" t="s">
        <v>2847</v>
      </c>
      <c r="D635" t="s">
        <v>2845</v>
      </c>
      <c r="E635" t="s">
        <v>1128</v>
      </c>
      <c r="H635" t="s">
        <v>77</v>
      </c>
      <c r="I635" t="s">
        <v>2846</v>
      </c>
    </row>
    <row r="636" spans="1:9" x14ac:dyDescent="0.35">
      <c r="A636" t="s">
        <v>2848</v>
      </c>
      <c r="B636" t="str">
        <f>"9780813055244"</f>
        <v>9780813055244</v>
      </c>
      <c r="C636" t="s">
        <v>2852</v>
      </c>
      <c r="D636" t="s">
        <v>2850</v>
      </c>
      <c r="E636" t="s">
        <v>1227</v>
      </c>
      <c r="F636" t="s">
        <v>2849</v>
      </c>
      <c r="H636" t="s">
        <v>29</v>
      </c>
      <c r="I636" t="s">
        <v>2851</v>
      </c>
    </row>
    <row r="637" spans="1:9" x14ac:dyDescent="0.35">
      <c r="A637" t="s">
        <v>2853</v>
      </c>
      <c r="B637" t="str">
        <f>"9781922059680"</f>
        <v>9781922059680</v>
      </c>
      <c r="C637" t="s">
        <v>2856</v>
      </c>
      <c r="D637" t="s">
        <v>2854</v>
      </c>
      <c r="E637" t="s">
        <v>1345</v>
      </c>
      <c r="H637" t="s">
        <v>29</v>
      </c>
      <c r="I637" t="s">
        <v>2855</v>
      </c>
    </row>
    <row r="638" spans="1:9" x14ac:dyDescent="0.35">
      <c r="A638" t="s">
        <v>2857</v>
      </c>
      <c r="B638" t="str">
        <f>"9780817387983"</f>
        <v>9780817387983</v>
      </c>
      <c r="C638" t="s">
        <v>2860</v>
      </c>
      <c r="D638" t="s">
        <v>2858</v>
      </c>
      <c r="E638" t="s">
        <v>269</v>
      </c>
      <c r="H638" t="s">
        <v>298</v>
      </c>
      <c r="I638" t="s">
        <v>2859</v>
      </c>
    </row>
    <row r="639" spans="1:9" x14ac:dyDescent="0.35">
      <c r="A639" t="s">
        <v>2861</v>
      </c>
      <c r="B639" t="str">
        <f>"9781623492328"</f>
        <v>9781623492328</v>
      </c>
      <c r="C639" t="s">
        <v>2864</v>
      </c>
      <c r="D639" t="s">
        <v>2862</v>
      </c>
      <c r="E639" t="s">
        <v>1859</v>
      </c>
      <c r="F639" t="s">
        <v>1860</v>
      </c>
      <c r="H639" t="s">
        <v>29</v>
      </c>
      <c r="I639" t="s">
        <v>2863</v>
      </c>
    </row>
    <row r="640" spans="1:9" x14ac:dyDescent="0.35">
      <c r="A640" t="s">
        <v>2865</v>
      </c>
      <c r="B640" t="str">
        <f>"9781742247212"</f>
        <v>9781742247212</v>
      </c>
      <c r="C640" t="s">
        <v>2869</v>
      </c>
      <c r="D640" t="s">
        <v>2867</v>
      </c>
      <c r="E640" t="s">
        <v>2866</v>
      </c>
      <c r="H640" t="s">
        <v>1359</v>
      </c>
      <c r="I640" t="s">
        <v>2868</v>
      </c>
    </row>
    <row r="641" spans="1:9" x14ac:dyDescent="0.35">
      <c r="A641" t="s">
        <v>2870</v>
      </c>
      <c r="B641" t="str">
        <f>"9780520961029"</f>
        <v>9780520961029</v>
      </c>
      <c r="C641" t="s">
        <v>2873</v>
      </c>
      <c r="D641" t="s">
        <v>841</v>
      </c>
      <c r="E641" t="s">
        <v>42</v>
      </c>
      <c r="F641" t="s">
        <v>2871</v>
      </c>
      <c r="H641" t="s">
        <v>29</v>
      </c>
      <c r="I641" t="s">
        <v>2872</v>
      </c>
    </row>
    <row r="642" spans="1:9" x14ac:dyDescent="0.35">
      <c r="A642" t="s">
        <v>2874</v>
      </c>
      <c r="B642" t="str">
        <f>"9780803269774"</f>
        <v>9780803269774</v>
      </c>
      <c r="C642" t="s">
        <v>2877</v>
      </c>
      <c r="D642" t="s">
        <v>2875</v>
      </c>
      <c r="E642" t="s">
        <v>2407</v>
      </c>
      <c r="H642" t="s">
        <v>1548</v>
      </c>
      <c r="I642" t="s">
        <v>2876</v>
      </c>
    </row>
    <row r="643" spans="1:9" x14ac:dyDescent="0.35">
      <c r="A643" t="s">
        <v>2878</v>
      </c>
      <c r="B643" t="str">
        <f>"9781742247151"</f>
        <v>9781742247151</v>
      </c>
      <c r="C643" t="s">
        <v>2881</v>
      </c>
      <c r="D643" t="s">
        <v>2879</v>
      </c>
      <c r="E643" t="s">
        <v>1256</v>
      </c>
      <c r="H643" t="s">
        <v>29</v>
      </c>
      <c r="I643" t="s">
        <v>2880</v>
      </c>
    </row>
    <row r="644" spans="1:9" x14ac:dyDescent="0.35">
      <c r="A644" t="s">
        <v>2882</v>
      </c>
      <c r="B644" t="str">
        <f>"9780191008818"</f>
        <v>9780191008818</v>
      </c>
      <c r="C644" t="s">
        <v>2885</v>
      </c>
      <c r="D644" t="s">
        <v>2883</v>
      </c>
      <c r="E644" t="s">
        <v>74</v>
      </c>
      <c r="H644" t="s">
        <v>2785</v>
      </c>
      <c r="I644" t="s">
        <v>2884</v>
      </c>
    </row>
    <row r="645" spans="1:9" x14ac:dyDescent="0.35">
      <c r="A645" t="s">
        <v>2886</v>
      </c>
      <c r="B645" t="str">
        <f>"9780817388218"</f>
        <v>9780817388218</v>
      </c>
      <c r="C645" t="s">
        <v>2889</v>
      </c>
      <c r="D645" t="s">
        <v>2887</v>
      </c>
      <c r="E645" t="s">
        <v>269</v>
      </c>
      <c r="H645" t="s">
        <v>29</v>
      </c>
      <c r="I645" t="s">
        <v>2888</v>
      </c>
    </row>
    <row r="646" spans="1:9" x14ac:dyDescent="0.35">
      <c r="A646" t="s">
        <v>2890</v>
      </c>
      <c r="B646" t="str">
        <f>"9781317464037"</f>
        <v>9781317464037</v>
      </c>
      <c r="C646" t="s">
        <v>2893</v>
      </c>
      <c r="D646" t="s">
        <v>2891</v>
      </c>
      <c r="E646" t="s">
        <v>9</v>
      </c>
      <c r="H646" t="s">
        <v>192</v>
      </c>
      <c r="I646" t="s">
        <v>2892</v>
      </c>
    </row>
    <row r="647" spans="1:9" x14ac:dyDescent="0.35">
      <c r="A647" t="s">
        <v>2894</v>
      </c>
      <c r="B647" t="str">
        <f>"9780813055176"</f>
        <v>9780813055176</v>
      </c>
      <c r="C647" t="s">
        <v>2897</v>
      </c>
      <c r="D647" t="s">
        <v>2895</v>
      </c>
      <c r="E647" t="s">
        <v>1227</v>
      </c>
      <c r="F647" t="s">
        <v>2849</v>
      </c>
      <c r="H647" t="s">
        <v>82</v>
      </c>
      <c r="I647" t="s">
        <v>2896</v>
      </c>
    </row>
    <row r="648" spans="1:9" x14ac:dyDescent="0.35">
      <c r="A648" t="s">
        <v>2898</v>
      </c>
      <c r="B648" t="str">
        <f>"9780803274259"</f>
        <v>9780803274259</v>
      </c>
      <c r="C648" t="s">
        <v>2900</v>
      </c>
      <c r="D648" t="s">
        <v>1730</v>
      </c>
      <c r="E648" t="s">
        <v>2548</v>
      </c>
      <c r="H648" t="s">
        <v>87</v>
      </c>
      <c r="I648" t="s">
        <v>2899</v>
      </c>
    </row>
    <row r="649" spans="1:9" x14ac:dyDescent="0.35">
      <c r="A649" t="s">
        <v>2901</v>
      </c>
      <c r="B649" t="str">
        <f>"9789004284555"</f>
        <v>9789004284555</v>
      </c>
      <c r="C649" t="s">
        <v>2904</v>
      </c>
      <c r="D649" t="s">
        <v>2902</v>
      </c>
      <c r="E649" t="s">
        <v>483</v>
      </c>
      <c r="F649" t="s">
        <v>2180</v>
      </c>
      <c r="H649" t="s">
        <v>87</v>
      </c>
      <c r="I649" t="s">
        <v>2903</v>
      </c>
    </row>
    <row r="650" spans="1:9" x14ac:dyDescent="0.35">
      <c r="A650" t="s">
        <v>2905</v>
      </c>
      <c r="B650" t="str">
        <f>"9789004290105"</f>
        <v>9789004290105</v>
      </c>
      <c r="C650" t="s">
        <v>2908</v>
      </c>
      <c r="D650" t="s">
        <v>2906</v>
      </c>
      <c r="E650" t="s">
        <v>483</v>
      </c>
      <c r="F650" t="s">
        <v>1123</v>
      </c>
      <c r="H650" t="s">
        <v>147</v>
      </c>
      <c r="I650" t="s">
        <v>2907</v>
      </c>
    </row>
    <row r="651" spans="1:9" x14ac:dyDescent="0.35">
      <c r="A651" t="s">
        <v>2909</v>
      </c>
      <c r="B651" t="str">
        <f>"9781922059567"</f>
        <v>9781922059567</v>
      </c>
      <c r="C651" t="s">
        <v>2912</v>
      </c>
      <c r="D651" t="s">
        <v>2910</v>
      </c>
      <c r="E651" t="s">
        <v>1345</v>
      </c>
      <c r="H651" t="s">
        <v>111</v>
      </c>
      <c r="I651" t="s">
        <v>2911</v>
      </c>
    </row>
    <row r="652" spans="1:9" x14ac:dyDescent="0.35">
      <c r="A652" t="s">
        <v>2913</v>
      </c>
      <c r="B652" t="str">
        <f>"9781610753593"</f>
        <v>9781610753593</v>
      </c>
      <c r="C652" t="s">
        <v>2917</v>
      </c>
      <c r="D652" t="s">
        <v>2915</v>
      </c>
      <c r="E652" t="s">
        <v>2914</v>
      </c>
      <c r="H652" t="s">
        <v>29</v>
      </c>
      <c r="I652" t="s">
        <v>2916</v>
      </c>
    </row>
    <row r="653" spans="1:9" x14ac:dyDescent="0.35">
      <c r="A653" t="s">
        <v>2918</v>
      </c>
      <c r="B653" t="str">
        <f>"9781610751803"</f>
        <v>9781610751803</v>
      </c>
      <c r="C653" t="s">
        <v>2921</v>
      </c>
      <c r="D653" t="s">
        <v>2919</v>
      </c>
      <c r="E653" t="s">
        <v>2914</v>
      </c>
      <c r="H653" t="s">
        <v>29</v>
      </c>
      <c r="I653" t="s">
        <v>2920</v>
      </c>
    </row>
    <row r="654" spans="1:9" x14ac:dyDescent="0.35">
      <c r="A654" t="s">
        <v>2922</v>
      </c>
      <c r="B654" t="str">
        <f>"9781610755276"</f>
        <v>9781610755276</v>
      </c>
      <c r="C654" t="s">
        <v>2925</v>
      </c>
      <c r="D654" t="s">
        <v>2923</v>
      </c>
      <c r="E654" t="s">
        <v>2914</v>
      </c>
      <c r="H654" t="s">
        <v>29</v>
      </c>
      <c r="I654" t="s">
        <v>2924</v>
      </c>
    </row>
    <row r="655" spans="1:9" x14ac:dyDescent="0.35">
      <c r="A655" t="s">
        <v>2926</v>
      </c>
      <c r="B655" t="str">
        <f>"9781610755306"</f>
        <v>9781610755306</v>
      </c>
      <c r="C655" t="s">
        <v>2930</v>
      </c>
      <c r="D655" t="s">
        <v>2928</v>
      </c>
      <c r="E655" t="s">
        <v>2914</v>
      </c>
      <c r="F655" t="s">
        <v>2927</v>
      </c>
      <c r="H655" t="s">
        <v>29</v>
      </c>
      <c r="I655" t="s">
        <v>2929</v>
      </c>
    </row>
    <row r="656" spans="1:9" x14ac:dyDescent="0.35">
      <c r="A656" t="s">
        <v>2931</v>
      </c>
      <c r="B656" t="str">
        <f>"9780702254505"</f>
        <v>9780702254505</v>
      </c>
      <c r="C656" t="s">
        <v>2934</v>
      </c>
      <c r="D656" t="s">
        <v>2932</v>
      </c>
      <c r="E656" t="s">
        <v>2157</v>
      </c>
      <c r="H656" t="s">
        <v>233</v>
      </c>
      <c r="I656" t="s">
        <v>2933</v>
      </c>
    </row>
    <row r="657" spans="1:9" x14ac:dyDescent="0.35">
      <c r="A657" t="s">
        <v>2935</v>
      </c>
      <c r="B657" t="str">
        <f>"9780803276611"</f>
        <v>9780803276611</v>
      </c>
      <c r="C657" t="s">
        <v>2938</v>
      </c>
      <c r="D657" t="s">
        <v>2936</v>
      </c>
      <c r="E657" t="s">
        <v>874</v>
      </c>
      <c r="H657" t="s">
        <v>44</v>
      </c>
      <c r="I657" t="s">
        <v>2937</v>
      </c>
    </row>
    <row r="658" spans="1:9" x14ac:dyDescent="0.35">
      <c r="A658" t="s">
        <v>2939</v>
      </c>
      <c r="B658" t="str">
        <f>"9780803274945"</f>
        <v>9780803274945</v>
      </c>
      <c r="C658" t="s">
        <v>2942</v>
      </c>
      <c r="D658" t="s">
        <v>2940</v>
      </c>
      <c r="E658" t="s">
        <v>2407</v>
      </c>
      <c r="H658" t="s">
        <v>930</v>
      </c>
      <c r="I658" t="s">
        <v>2941</v>
      </c>
    </row>
    <row r="659" spans="1:9" x14ac:dyDescent="0.35">
      <c r="A659" t="s">
        <v>2943</v>
      </c>
      <c r="B659" t="str">
        <f>"9781922059918"</f>
        <v>9781922059918</v>
      </c>
      <c r="C659" t="s">
        <v>2946</v>
      </c>
      <c r="D659" t="s">
        <v>2944</v>
      </c>
      <c r="E659" t="s">
        <v>1345</v>
      </c>
      <c r="H659" t="s">
        <v>233</v>
      </c>
      <c r="I659" t="s">
        <v>2945</v>
      </c>
    </row>
    <row r="660" spans="1:9" x14ac:dyDescent="0.35">
      <c r="A660" t="s">
        <v>2947</v>
      </c>
      <c r="B660" t="str">
        <f>"9780822971023"</f>
        <v>9780822971023</v>
      </c>
      <c r="C660" t="s">
        <v>2952</v>
      </c>
      <c r="D660" t="s">
        <v>2950</v>
      </c>
      <c r="E660" t="s">
        <v>2948</v>
      </c>
      <c r="F660" t="s">
        <v>2949</v>
      </c>
      <c r="H660" t="s">
        <v>265</v>
      </c>
      <c r="I660" t="s">
        <v>2951</v>
      </c>
    </row>
    <row r="661" spans="1:9" x14ac:dyDescent="0.35">
      <c r="A661" t="s">
        <v>2953</v>
      </c>
      <c r="B661" t="str">
        <f>"9781927277966"</f>
        <v>9781927277966</v>
      </c>
      <c r="C661" t="s">
        <v>2958</v>
      </c>
      <c r="D661" t="s">
        <v>2956</v>
      </c>
      <c r="E661" t="s">
        <v>2954</v>
      </c>
      <c r="F661" t="s">
        <v>2955</v>
      </c>
      <c r="H661" t="s">
        <v>1283</v>
      </c>
      <c r="I661" t="s">
        <v>2957</v>
      </c>
    </row>
    <row r="662" spans="1:9" x14ac:dyDescent="0.35">
      <c r="A662" t="s">
        <v>2959</v>
      </c>
      <c r="B662" t="str">
        <f>"9780822973560"</f>
        <v>9780822973560</v>
      </c>
      <c r="C662" t="s">
        <v>2962</v>
      </c>
      <c r="D662" t="s">
        <v>2960</v>
      </c>
      <c r="E662" t="s">
        <v>2948</v>
      </c>
      <c r="F662" t="s">
        <v>2949</v>
      </c>
      <c r="H662" t="s">
        <v>29</v>
      </c>
      <c r="I662" t="s">
        <v>2961</v>
      </c>
    </row>
    <row r="663" spans="1:9" x14ac:dyDescent="0.35">
      <c r="A663" t="s">
        <v>2963</v>
      </c>
      <c r="B663" t="str">
        <f>"9780822973096"</f>
        <v>9780822973096</v>
      </c>
      <c r="C663" t="s">
        <v>2966</v>
      </c>
      <c r="D663" t="s">
        <v>2964</v>
      </c>
      <c r="E663" t="s">
        <v>2948</v>
      </c>
      <c r="F663" t="s">
        <v>2949</v>
      </c>
      <c r="H663" t="s">
        <v>82</v>
      </c>
      <c r="I663" t="s">
        <v>2965</v>
      </c>
    </row>
    <row r="664" spans="1:9" x14ac:dyDescent="0.35">
      <c r="A664" t="s">
        <v>2967</v>
      </c>
      <c r="B664" t="str">
        <f>"9780822978602"</f>
        <v>9780822978602</v>
      </c>
      <c r="C664" t="s">
        <v>2971</v>
      </c>
      <c r="D664" t="s">
        <v>2969</v>
      </c>
      <c r="E664" t="s">
        <v>2948</v>
      </c>
      <c r="F664" t="s">
        <v>2968</v>
      </c>
      <c r="H664" t="s">
        <v>82</v>
      </c>
      <c r="I664" t="s">
        <v>2970</v>
      </c>
    </row>
    <row r="665" spans="1:9" x14ac:dyDescent="0.35">
      <c r="A665" t="s">
        <v>2972</v>
      </c>
      <c r="B665" t="str">
        <f>"9780822979142"</f>
        <v>9780822979142</v>
      </c>
      <c r="C665" t="s">
        <v>2976</v>
      </c>
      <c r="D665" t="s">
        <v>2974</v>
      </c>
      <c r="E665" t="s">
        <v>2948</v>
      </c>
      <c r="F665" t="s">
        <v>2973</v>
      </c>
      <c r="H665" t="s">
        <v>23</v>
      </c>
      <c r="I665" t="s">
        <v>2975</v>
      </c>
    </row>
    <row r="666" spans="1:9" x14ac:dyDescent="0.35">
      <c r="A666" t="s">
        <v>2977</v>
      </c>
      <c r="B666" t="str">
        <f>"9780822979470"</f>
        <v>9780822979470</v>
      </c>
      <c r="C666" t="s">
        <v>2981</v>
      </c>
      <c r="D666" t="s">
        <v>2979</v>
      </c>
      <c r="E666" t="s">
        <v>2948</v>
      </c>
      <c r="F666" t="s">
        <v>2978</v>
      </c>
      <c r="H666" t="s">
        <v>111</v>
      </c>
      <c r="I666" t="s">
        <v>2980</v>
      </c>
    </row>
    <row r="667" spans="1:9" x14ac:dyDescent="0.35">
      <c r="A667" t="s">
        <v>2982</v>
      </c>
      <c r="B667" t="str">
        <f>"9781602232402"</f>
        <v>9781602232402</v>
      </c>
      <c r="C667" t="s">
        <v>2985</v>
      </c>
      <c r="D667" t="s">
        <v>2983</v>
      </c>
      <c r="E667" t="s">
        <v>2750</v>
      </c>
      <c r="H667" t="s">
        <v>44</v>
      </c>
      <c r="I667" t="s">
        <v>2984</v>
      </c>
    </row>
    <row r="668" spans="1:9" x14ac:dyDescent="0.35">
      <c r="A668" t="s">
        <v>2986</v>
      </c>
      <c r="B668" t="str">
        <f>"9780199845330"</f>
        <v>9780199845330</v>
      </c>
      <c r="C668" t="s">
        <v>2989</v>
      </c>
      <c r="D668" t="s">
        <v>2987</v>
      </c>
      <c r="E668" t="s">
        <v>74</v>
      </c>
      <c r="F668" t="s">
        <v>75</v>
      </c>
      <c r="H668" t="s">
        <v>29</v>
      </c>
      <c r="I668" t="s">
        <v>2988</v>
      </c>
    </row>
    <row r="669" spans="1:9" x14ac:dyDescent="0.35">
      <c r="A669" t="s">
        <v>2990</v>
      </c>
      <c r="B669" t="str">
        <f>"9781623492755"</f>
        <v>9781623492755</v>
      </c>
      <c r="C669" t="s">
        <v>2994</v>
      </c>
      <c r="D669" t="s">
        <v>2992</v>
      </c>
      <c r="E669" t="s">
        <v>1859</v>
      </c>
      <c r="F669" t="s">
        <v>2991</v>
      </c>
      <c r="H669" t="s">
        <v>29</v>
      </c>
      <c r="I669" t="s">
        <v>2993</v>
      </c>
    </row>
    <row r="670" spans="1:9" x14ac:dyDescent="0.35">
      <c r="A670" t="s">
        <v>2995</v>
      </c>
      <c r="B670" t="str">
        <f>"9781452944586"</f>
        <v>9781452944586</v>
      </c>
      <c r="C670" t="s">
        <v>2998</v>
      </c>
      <c r="D670" t="s">
        <v>2996</v>
      </c>
      <c r="E670" t="s">
        <v>119</v>
      </c>
      <c r="F670" t="s">
        <v>2726</v>
      </c>
      <c r="H670" t="s">
        <v>77</v>
      </c>
      <c r="I670" t="s">
        <v>2997</v>
      </c>
    </row>
    <row r="671" spans="1:9" x14ac:dyDescent="0.35">
      <c r="A671" t="s">
        <v>2999</v>
      </c>
      <c r="B671" t="str">
        <f>"9781611172126"</f>
        <v>9781611172126</v>
      </c>
      <c r="C671" t="s">
        <v>3003</v>
      </c>
      <c r="D671" t="s">
        <v>3001</v>
      </c>
      <c r="E671" t="s">
        <v>3000</v>
      </c>
      <c r="H671" t="s">
        <v>29</v>
      </c>
      <c r="I671" t="s">
        <v>3002</v>
      </c>
    </row>
    <row r="672" spans="1:9" x14ac:dyDescent="0.35">
      <c r="A672" t="s">
        <v>3004</v>
      </c>
      <c r="B672" t="str">
        <f>"9781611172737"</f>
        <v>9781611172737</v>
      </c>
      <c r="C672" t="s">
        <v>3008</v>
      </c>
      <c r="D672" t="s">
        <v>3006</v>
      </c>
      <c r="E672" t="s">
        <v>3000</v>
      </c>
      <c r="F672" t="s">
        <v>3005</v>
      </c>
      <c r="H672" t="s">
        <v>29</v>
      </c>
      <c r="I672" t="s">
        <v>3007</v>
      </c>
    </row>
    <row r="673" spans="1:9" x14ac:dyDescent="0.35">
      <c r="A673" t="s">
        <v>3009</v>
      </c>
      <c r="B673" t="str">
        <f>"9781611171938"</f>
        <v>9781611171938</v>
      </c>
      <c r="C673" t="s">
        <v>3012</v>
      </c>
      <c r="D673" t="s">
        <v>3010</v>
      </c>
      <c r="E673" t="s">
        <v>3000</v>
      </c>
      <c r="H673" t="s">
        <v>29</v>
      </c>
      <c r="I673" t="s">
        <v>3011</v>
      </c>
    </row>
    <row r="674" spans="1:9" x14ac:dyDescent="0.35">
      <c r="A674" t="s">
        <v>3013</v>
      </c>
      <c r="B674" t="str">
        <f>"9781611172034"</f>
        <v>9781611172034</v>
      </c>
      <c r="C674" t="s">
        <v>3016</v>
      </c>
      <c r="D674" t="s">
        <v>3014</v>
      </c>
      <c r="E674" t="s">
        <v>3000</v>
      </c>
      <c r="H674" t="s">
        <v>82</v>
      </c>
      <c r="I674" t="s">
        <v>3015</v>
      </c>
    </row>
    <row r="675" spans="1:9" x14ac:dyDescent="0.35">
      <c r="A675" t="s">
        <v>3017</v>
      </c>
      <c r="B675" t="str">
        <f>"9780817388249"</f>
        <v>9780817388249</v>
      </c>
      <c r="C675" t="s">
        <v>3020</v>
      </c>
      <c r="D675" t="s">
        <v>3018</v>
      </c>
      <c r="E675" t="s">
        <v>269</v>
      </c>
      <c r="H675" t="s">
        <v>82</v>
      </c>
      <c r="I675" t="s">
        <v>3019</v>
      </c>
    </row>
    <row r="676" spans="1:9" x14ac:dyDescent="0.35">
      <c r="A676" t="s">
        <v>3021</v>
      </c>
      <c r="B676" t="str">
        <f>"9780817387723"</f>
        <v>9780817387723</v>
      </c>
      <c r="C676" t="s">
        <v>3024</v>
      </c>
      <c r="D676" t="s">
        <v>3022</v>
      </c>
      <c r="E676" t="s">
        <v>269</v>
      </c>
      <c r="H676" t="s">
        <v>29</v>
      </c>
      <c r="I676" t="s">
        <v>3023</v>
      </c>
    </row>
    <row r="677" spans="1:9" x14ac:dyDescent="0.35">
      <c r="A677" t="s">
        <v>3025</v>
      </c>
      <c r="B677" t="str">
        <f>"9780702255939"</f>
        <v>9780702255939</v>
      </c>
      <c r="C677" t="s">
        <v>3028</v>
      </c>
      <c r="D677" t="s">
        <v>3026</v>
      </c>
      <c r="E677" t="s">
        <v>2157</v>
      </c>
      <c r="H677" t="s">
        <v>111</v>
      </c>
      <c r="I677" t="s">
        <v>3027</v>
      </c>
    </row>
    <row r="678" spans="1:9" x14ac:dyDescent="0.35">
      <c r="A678" t="s">
        <v>3029</v>
      </c>
      <c r="B678" t="str">
        <f>"9780813055602"</f>
        <v>9780813055602</v>
      </c>
      <c r="C678" t="s">
        <v>3032</v>
      </c>
      <c r="D678" t="s">
        <v>3030</v>
      </c>
      <c r="E678" t="s">
        <v>1227</v>
      </c>
      <c r="H678" t="s">
        <v>29</v>
      </c>
      <c r="I678" t="s">
        <v>3031</v>
      </c>
    </row>
    <row r="679" spans="1:9" x14ac:dyDescent="0.35">
      <c r="A679" t="s">
        <v>3033</v>
      </c>
      <c r="B679" t="str">
        <f>"9781782977575"</f>
        <v>9781782977575</v>
      </c>
      <c r="C679" t="s">
        <v>3038</v>
      </c>
      <c r="D679" t="s">
        <v>3036</v>
      </c>
      <c r="E679" t="s">
        <v>3034</v>
      </c>
      <c r="F679" t="s">
        <v>3035</v>
      </c>
      <c r="H679" t="s">
        <v>29</v>
      </c>
      <c r="I679" t="s">
        <v>3037</v>
      </c>
    </row>
    <row r="680" spans="1:9" x14ac:dyDescent="0.35">
      <c r="A680" t="s">
        <v>3039</v>
      </c>
      <c r="B680" t="str">
        <f>"9789048518067"</f>
        <v>9789048518067</v>
      </c>
      <c r="C680" t="s">
        <v>3043</v>
      </c>
      <c r="D680" t="s">
        <v>3041</v>
      </c>
      <c r="E680" t="s">
        <v>1630</v>
      </c>
      <c r="F680" t="s">
        <v>3040</v>
      </c>
      <c r="H680" t="s">
        <v>851</v>
      </c>
      <c r="I680" t="s">
        <v>3042</v>
      </c>
    </row>
    <row r="681" spans="1:9" x14ac:dyDescent="0.35">
      <c r="A681" t="s">
        <v>3044</v>
      </c>
      <c r="B681" t="str">
        <f>"9789047408680"</f>
        <v>9789047408680</v>
      </c>
      <c r="C681" t="s">
        <v>3048</v>
      </c>
      <c r="D681" t="s">
        <v>3046</v>
      </c>
      <c r="E681" t="s">
        <v>3045</v>
      </c>
      <c r="H681" t="s">
        <v>1866</v>
      </c>
      <c r="I681" t="s">
        <v>3047</v>
      </c>
    </row>
    <row r="682" spans="1:9" x14ac:dyDescent="0.35">
      <c r="A682" t="s">
        <v>3049</v>
      </c>
      <c r="B682" t="str">
        <f>"9781611210224"</f>
        <v>9781611210224</v>
      </c>
      <c r="C682" t="s">
        <v>3053</v>
      </c>
      <c r="D682" t="s">
        <v>3051</v>
      </c>
      <c r="E682" t="s">
        <v>3050</v>
      </c>
      <c r="H682" t="s">
        <v>29</v>
      </c>
      <c r="I682" t="s">
        <v>3052</v>
      </c>
    </row>
    <row r="683" spans="1:9" x14ac:dyDescent="0.35">
      <c r="A683" t="s">
        <v>3054</v>
      </c>
      <c r="B683" t="str">
        <f>"9789401206860"</f>
        <v>9789401206860</v>
      </c>
      <c r="C683" t="s">
        <v>3057</v>
      </c>
      <c r="D683" t="s">
        <v>3055</v>
      </c>
      <c r="E683" t="s">
        <v>483</v>
      </c>
      <c r="F683" t="s">
        <v>1166</v>
      </c>
      <c r="H683" t="s">
        <v>23</v>
      </c>
      <c r="I683" t="s">
        <v>3056</v>
      </c>
    </row>
    <row r="684" spans="1:9" x14ac:dyDescent="0.35">
      <c r="A684" t="s">
        <v>3058</v>
      </c>
      <c r="B684" t="str">
        <f>"9780253004765"</f>
        <v>9780253004765</v>
      </c>
      <c r="C684" t="s">
        <v>3062</v>
      </c>
      <c r="D684" t="s">
        <v>3060</v>
      </c>
      <c r="E684" t="s">
        <v>69</v>
      </c>
      <c r="F684" t="s">
        <v>3059</v>
      </c>
      <c r="H684" t="s">
        <v>29</v>
      </c>
      <c r="I684" t="s">
        <v>3061</v>
      </c>
    </row>
    <row r="685" spans="1:9" x14ac:dyDescent="0.35">
      <c r="A685" t="s">
        <v>3063</v>
      </c>
      <c r="B685" t="str">
        <f>"9781922059116"</f>
        <v>9781922059116</v>
      </c>
      <c r="C685" t="s">
        <v>3066</v>
      </c>
      <c r="D685" t="s">
        <v>3064</v>
      </c>
      <c r="E685" t="s">
        <v>1345</v>
      </c>
      <c r="H685" t="s">
        <v>111</v>
      </c>
      <c r="I685" t="s">
        <v>3065</v>
      </c>
    </row>
    <row r="686" spans="1:9" x14ac:dyDescent="0.35">
      <c r="A686" t="s">
        <v>3067</v>
      </c>
      <c r="B686" t="str">
        <f>"9780874627473"</f>
        <v>9780874627473</v>
      </c>
      <c r="C686" t="s">
        <v>3071</v>
      </c>
      <c r="D686" t="s">
        <v>3069</v>
      </c>
      <c r="E686" t="s">
        <v>3068</v>
      </c>
      <c r="H686" t="s">
        <v>1866</v>
      </c>
      <c r="I686" t="s">
        <v>3070</v>
      </c>
    </row>
    <row r="687" spans="1:9" x14ac:dyDescent="0.35">
      <c r="A687" t="s">
        <v>3072</v>
      </c>
      <c r="B687" t="str">
        <f>"9780874620641"</f>
        <v>9780874620641</v>
      </c>
      <c r="C687" t="s">
        <v>3075</v>
      </c>
      <c r="D687" t="s">
        <v>3073</v>
      </c>
      <c r="E687" t="s">
        <v>3068</v>
      </c>
      <c r="H687" t="s">
        <v>29</v>
      </c>
      <c r="I687" t="s">
        <v>3074</v>
      </c>
    </row>
    <row r="688" spans="1:9" x14ac:dyDescent="0.35">
      <c r="A688" t="s">
        <v>3076</v>
      </c>
      <c r="B688" t="str">
        <f>"9781613241738"</f>
        <v>9781613241738</v>
      </c>
      <c r="C688" t="s">
        <v>3081</v>
      </c>
      <c r="D688" t="s">
        <v>3079</v>
      </c>
      <c r="E688" t="s">
        <v>3077</v>
      </c>
      <c r="F688" t="s">
        <v>3078</v>
      </c>
      <c r="H688" t="s">
        <v>111</v>
      </c>
      <c r="I688" t="s">
        <v>3080</v>
      </c>
    </row>
    <row r="689" spans="1:9" x14ac:dyDescent="0.35">
      <c r="A689" t="s">
        <v>3082</v>
      </c>
      <c r="B689" t="str">
        <f>"9780821442371"</f>
        <v>9780821442371</v>
      </c>
      <c r="C689" t="s">
        <v>3085</v>
      </c>
      <c r="D689" t="s">
        <v>3083</v>
      </c>
      <c r="E689" t="s">
        <v>2641</v>
      </c>
      <c r="H689" t="s">
        <v>23</v>
      </c>
      <c r="I689" t="s">
        <v>3084</v>
      </c>
    </row>
    <row r="690" spans="1:9" x14ac:dyDescent="0.35">
      <c r="A690" t="s">
        <v>3086</v>
      </c>
      <c r="B690" t="str">
        <f>"9780821442968"</f>
        <v>9780821442968</v>
      </c>
      <c r="C690" t="s">
        <v>3089</v>
      </c>
      <c r="D690" t="s">
        <v>3087</v>
      </c>
      <c r="E690" t="s">
        <v>2641</v>
      </c>
      <c r="H690" t="s">
        <v>29</v>
      </c>
      <c r="I690" t="s">
        <v>3088</v>
      </c>
    </row>
    <row r="691" spans="1:9" x14ac:dyDescent="0.35">
      <c r="A691" t="s">
        <v>3090</v>
      </c>
      <c r="B691" t="str">
        <f>"9789462092181"</f>
        <v>9789462092181</v>
      </c>
      <c r="C691" t="s">
        <v>3094</v>
      </c>
      <c r="D691" t="s">
        <v>3092</v>
      </c>
      <c r="E691" t="s">
        <v>483</v>
      </c>
      <c r="F691" t="s">
        <v>3091</v>
      </c>
      <c r="H691" t="s">
        <v>851</v>
      </c>
      <c r="I691" t="s">
        <v>3093</v>
      </c>
    </row>
    <row r="692" spans="1:9" x14ac:dyDescent="0.35">
      <c r="A692" t="s">
        <v>3095</v>
      </c>
      <c r="B692" t="str">
        <f>"9789462092938"</f>
        <v>9789462092938</v>
      </c>
      <c r="C692" t="s">
        <v>3099</v>
      </c>
      <c r="D692" t="s">
        <v>3097</v>
      </c>
      <c r="E692" t="s">
        <v>483</v>
      </c>
      <c r="F692" t="s">
        <v>3096</v>
      </c>
      <c r="H692" t="s">
        <v>851</v>
      </c>
      <c r="I692" t="s">
        <v>3098</v>
      </c>
    </row>
    <row r="693" spans="1:9" x14ac:dyDescent="0.35">
      <c r="A693" t="s">
        <v>3100</v>
      </c>
      <c r="B693" t="str">
        <f>"9789462096806"</f>
        <v>9789462096806</v>
      </c>
      <c r="C693" t="s">
        <v>3103</v>
      </c>
      <c r="D693" t="s">
        <v>3101</v>
      </c>
      <c r="E693" t="s">
        <v>483</v>
      </c>
      <c r="H693" t="s">
        <v>851</v>
      </c>
      <c r="I693" t="s">
        <v>3102</v>
      </c>
    </row>
    <row r="694" spans="1:9" x14ac:dyDescent="0.35">
      <c r="A694" t="s">
        <v>3104</v>
      </c>
      <c r="B694" t="str">
        <f>"9780804767774"</f>
        <v>9780804767774</v>
      </c>
      <c r="C694" t="s">
        <v>3107</v>
      </c>
      <c r="D694" t="s">
        <v>3105</v>
      </c>
      <c r="E694" t="s">
        <v>597</v>
      </c>
      <c r="H694" t="s">
        <v>29</v>
      </c>
      <c r="I694" t="s">
        <v>3106</v>
      </c>
    </row>
    <row r="695" spans="1:9" x14ac:dyDescent="0.35">
      <c r="A695" t="s">
        <v>3108</v>
      </c>
      <c r="B695" t="str">
        <f>"9781603443111"</f>
        <v>9781603443111</v>
      </c>
      <c r="C695" t="s">
        <v>3112</v>
      </c>
      <c r="D695" t="s">
        <v>3110</v>
      </c>
      <c r="E695" t="s">
        <v>1859</v>
      </c>
      <c r="F695" t="s">
        <v>3109</v>
      </c>
      <c r="H695" t="s">
        <v>29</v>
      </c>
      <c r="I695" t="s">
        <v>3111</v>
      </c>
    </row>
    <row r="696" spans="1:9" x14ac:dyDescent="0.35">
      <c r="A696" t="s">
        <v>3113</v>
      </c>
      <c r="B696" t="str">
        <f>"9781603443074"</f>
        <v>9781603443074</v>
      </c>
      <c r="C696" t="s">
        <v>3116</v>
      </c>
      <c r="D696" t="s">
        <v>3114</v>
      </c>
      <c r="E696" t="s">
        <v>1859</v>
      </c>
      <c r="F696" t="s">
        <v>1860</v>
      </c>
      <c r="H696" t="s">
        <v>29</v>
      </c>
      <c r="I696" t="s">
        <v>3115</v>
      </c>
    </row>
    <row r="697" spans="1:9" x14ac:dyDescent="0.35">
      <c r="A697" t="s">
        <v>3117</v>
      </c>
      <c r="B697" t="str">
        <f>"9781603444835"</f>
        <v>9781603444835</v>
      </c>
      <c r="C697" t="s">
        <v>3120</v>
      </c>
      <c r="D697" t="s">
        <v>3118</v>
      </c>
      <c r="E697" t="s">
        <v>1859</v>
      </c>
      <c r="H697" t="s">
        <v>29</v>
      </c>
      <c r="I697" t="s">
        <v>3119</v>
      </c>
    </row>
    <row r="698" spans="1:9" x14ac:dyDescent="0.35">
      <c r="A698" t="s">
        <v>3121</v>
      </c>
      <c r="B698" t="str">
        <f>"9781603446129"</f>
        <v>9781603446129</v>
      </c>
      <c r="C698" t="s">
        <v>3125</v>
      </c>
      <c r="D698" t="s">
        <v>3123</v>
      </c>
      <c r="E698" t="s">
        <v>1859</v>
      </c>
      <c r="F698" t="s">
        <v>3122</v>
      </c>
      <c r="H698" t="s">
        <v>29</v>
      </c>
      <c r="I698" t="s">
        <v>3124</v>
      </c>
    </row>
    <row r="699" spans="1:9" x14ac:dyDescent="0.35">
      <c r="A699" t="s">
        <v>3126</v>
      </c>
      <c r="B699" t="str">
        <f>"9780820336374"</f>
        <v>9780820336374</v>
      </c>
      <c r="C699" t="s">
        <v>3128</v>
      </c>
      <c r="D699" t="s">
        <v>2240</v>
      </c>
      <c r="E699" t="s">
        <v>2239</v>
      </c>
      <c r="H699" t="s">
        <v>23</v>
      </c>
      <c r="I699" t="s">
        <v>3127</v>
      </c>
    </row>
    <row r="700" spans="1:9" x14ac:dyDescent="0.35">
      <c r="A700" t="s">
        <v>3129</v>
      </c>
      <c r="B700" t="str">
        <f>"9780820342016"</f>
        <v>9780820342016</v>
      </c>
      <c r="C700" t="s">
        <v>3133</v>
      </c>
      <c r="D700" t="s">
        <v>3131</v>
      </c>
      <c r="E700" t="s">
        <v>2239</v>
      </c>
      <c r="F700" t="s">
        <v>3130</v>
      </c>
      <c r="H700" t="s">
        <v>82</v>
      </c>
      <c r="I700" t="s">
        <v>3132</v>
      </c>
    </row>
    <row r="701" spans="1:9" x14ac:dyDescent="0.35">
      <c r="A701" t="s">
        <v>3134</v>
      </c>
      <c r="B701" t="str">
        <f>"9780820341880"</f>
        <v>9780820341880</v>
      </c>
      <c r="C701" t="s">
        <v>3138</v>
      </c>
      <c r="D701" t="s">
        <v>3136</v>
      </c>
      <c r="E701" t="s">
        <v>2239</v>
      </c>
      <c r="F701" t="s">
        <v>3135</v>
      </c>
      <c r="H701" t="s">
        <v>23</v>
      </c>
      <c r="I701" t="s">
        <v>3137</v>
      </c>
    </row>
    <row r="702" spans="1:9" x14ac:dyDescent="0.35">
      <c r="A702" t="s">
        <v>3139</v>
      </c>
      <c r="B702" t="str">
        <f>"9780803230453"</f>
        <v>9780803230453</v>
      </c>
      <c r="C702" t="s">
        <v>3142</v>
      </c>
      <c r="D702" t="s">
        <v>3140</v>
      </c>
      <c r="E702" t="s">
        <v>129</v>
      </c>
      <c r="F702" t="s">
        <v>186</v>
      </c>
      <c r="H702" t="s">
        <v>29</v>
      </c>
      <c r="I702" t="s">
        <v>3141</v>
      </c>
    </row>
    <row r="703" spans="1:9" x14ac:dyDescent="0.35">
      <c r="A703" t="s">
        <v>3143</v>
      </c>
      <c r="B703" t="str">
        <f>"9780803205338"</f>
        <v>9780803205338</v>
      </c>
      <c r="C703" t="s">
        <v>3146</v>
      </c>
      <c r="D703" t="s">
        <v>3144</v>
      </c>
      <c r="E703" t="s">
        <v>129</v>
      </c>
      <c r="H703" t="s">
        <v>106</v>
      </c>
      <c r="I703" t="s">
        <v>3145</v>
      </c>
    </row>
    <row r="704" spans="1:9" x14ac:dyDescent="0.35">
      <c r="A704" t="s">
        <v>3147</v>
      </c>
      <c r="B704" t="str">
        <f>"9780803205451"</f>
        <v>9780803205451</v>
      </c>
      <c r="C704" t="s">
        <v>3150</v>
      </c>
      <c r="D704" t="s">
        <v>3148</v>
      </c>
      <c r="E704" t="s">
        <v>129</v>
      </c>
      <c r="F704" t="s">
        <v>2408</v>
      </c>
      <c r="H704" t="s">
        <v>147</v>
      </c>
      <c r="I704" t="s">
        <v>3149</v>
      </c>
    </row>
    <row r="705" spans="1:9" x14ac:dyDescent="0.35">
      <c r="A705" t="s">
        <v>3151</v>
      </c>
      <c r="B705" t="str">
        <f>"9780803252035"</f>
        <v>9780803252035</v>
      </c>
      <c r="C705" t="s">
        <v>3153</v>
      </c>
      <c r="D705" t="s">
        <v>129</v>
      </c>
      <c r="E705" t="s">
        <v>129</v>
      </c>
      <c r="H705" t="s">
        <v>192</v>
      </c>
      <c r="I705" t="s">
        <v>3152</v>
      </c>
    </row>
    <row r="706" spans="1:9" x14ac:dyDescent="0.35">
      <c r="A706" t="s">
        <v>3154</v>
      </c>
      <c r="B706" t="str">
        <f>"9780803256286"</f>
        <v>9780803256286</v>
      </c>
      <c r="C706" t="s">
        <v>3157</v>
      </c>
      <c r="D706" t="s">
        <v>3155</v>
      </c>
      <c r="E706" t="s">
        <v>129</v>
      </c>
      <c r="F706" t="s">
        <v>1517</v>
      </c>
      <c r="H706" t="s">
        <v>201</v>
      </c>
      <c r="I706" t="s">
        <v>3156</v>
      </c>
    </row>
    <row r="707" spans="1:9" x14ac:dyDescent="0.35">
      <c r="A707" t="s">
        <v>3158</v>
      </c>
      <c r="B707" t="str">
        <f>"9780803234642"</f>
        <v>9780803234642</v>
      </c>
      <c r="C707" t="s">
        <v>3161</v>
      </c>
      <c r="D707" t="s">
        <v>3159</v>
      </c>
      <c r="E707" t="s">
        <v>2407</v>
      </c>
      <c r="H707" t="s">
        <v>23</v>
      </c>
      <c r="I707" t="s">
        <v>3160</v>
      </c>
    </row>
    <row r="708" spans="1:9" x14ac:dyDescent="0.35">
      <c r="A708" t="s">
        <v>3162</v>
      </c>
      <c r="B708" t="str">
        <f>"9780803236189"</f>
        <v>9780803236189</v>
      </c>
      <c r="C708" t="s">
        <v>3165</v>
      </c>
      <c r="D708" t="s">
        <v>3163</v>
      </c>
      <c r="E708" t="s">
        <v>129</v>
      </c>
      <c r="H708" t="s">
        <v>82</v>
      </c>
      <c r="I708" t="s">
        <v>3164</v>
      </c>
    </row>
    <row r="709" spans="1:9" x14ac:dyDescent="0.35">
      <c r="A709" t="s">
        <v>3166</v>
      </c>
      <c r="B709" t="str">
        <f>"9780803266742"</f>
        <v>9780803266742</v>
      </c>
      <c r="C709" t="s">
        <v>3169</v>
      </c>
      <c r="D709" t="s">
        <v>3167</v>
      </c>
      <c r="E709" t="s">
        <v>2407</v>
      </c>
      <c r="H709" t="s">
        <v>29</v>
      </c>
      <c r="I709" t="s">
        <v>3168</v>
      </c>
    </row>
    <row r="710" spans="1:9" x14ac:dyDescent="0.35">
      <c r="A710" t="s">
        <v>3170</v>
      </c>
      <c r="B710" t="str">
        <f>"9780803277342"</f>
        <v>9780803277342</v>
      </c>
      <c r="C710" t="s">
        <v>3173</v>
      </c>
      <c r="D710" t="s">
        <v>3171</v>
      </c>
      <c r="E710" t="s">
        <v>874</v>
      </c>
      <c r="F710" t="s">
        <v>1153</v>
      </c>
      <c r="H710" t="s">
        <v>147</v>
      </c>
      <c r="I710" t="s">
        <v>3172</v>
      </c>
    </row>
    <row r="711" spans="1:9" x14ac:dyDescent="0.35">
      <c r="A711" t="s">
        <v>3174</v>
      </c>
      <c r="B711" t="str">
        <f>"9780870817960"</f>
        <v>9780870817960</v>
      </c>
      <c r="C711" t="s">
        <v>3178</v>
      </c>
      <c r="D711" t="s">
        <v>3176</v>
      </c>
      <c r="E711" t="s">
        <v>3175</v>
      </c>
      <c r="H711" t="s">
        <v>23</v>
      </c>
      <c r="I711" t="s">
        <v>3177</v>
      </c>
    </row>
    <row r="712" spans="1:9" x14ac:dyDescent="0.35">
      <c r="A712" t="s">
        <v>3179</v>
      </c>
      <c r="B712" t="str">
        <f>"9780870819889"</f>
        <v>9780870819889</v>
      </c>
      <c r="C712" t="s">
        <v>3182</v>
      </c>
      <c r="D712" t="s">
        <v>3180</v>
      </c>
      <c r="E712" t="s">
        <v>3175</v>
      </c>
      <c r="H712" t="s">
        <v>29</v>
      </c>
      <c r="I712" t="s">
        <v>3181</v>
      </c>
    </row>
    <row r="713" spans="1:9" x14ac:dyDescent="0.35">
      <c r="A713" t="s">
        <v>3183</v>
      </c>
      <c r="B713" t="str">
        <f>"9780870819728"</f>
        <v>9780870819728</v>
      </c>
      <c r="C713" t="s">
        <v>3187</v>
      </c>
      <c r="D713" t="s">
        <v>3185</v>
      </c>
      <c r="E713" t="s">
        <v>3175</v>
      </c>
      <c r="F713" t="s">
        <v>3184</v>
      </c>
      <c r="H713" t="s">
        <v>1866</v>
      </c>
      <c r="I713" t="s">
        <v>3186</v>
      </c>
    </row>
    <row r="714" spans="1:9" x14ac:dyDescent="0.35">
      <c r="A714" t="s">
        <v>3188</v>
      </c>
      <c r="B714" t="str">
        <f>"9780870819841"</f>
        <v>9780870819841</v>
      </c>
      <c r="C714" t="s">
        <v>3192</v>
      </c>
      <c r="D714" t="s">
        <v>3190</v>
      </c>
      <c r="E714" t="s">
        <v>3175</v>
      </c>
      <c r="F714" t="s">
        <v>3189</v>
      </c>
      <c r="H714" t="s">
        <v>459</v>
      </c>
      <c r="I714" t="s">
        <v>3191</v>
      </c>
    </row>
    <row r="715" spans="1:9" x14ac:dyDescent="0.35">
      <c r="A715" t="s">
        <v>3193</v>
      </c>
      <c r="B715" t="str">
        <f>"9780870819902"</f>
        <v>9780870819902</v>
      </c>
      <c r="C715" t="s">
        <v>3196</v>
      </c>
      <c r="D715" t="s">
        <v>3194</v>
      </c>
      <c r="E715" t="s">
        <v>3175</v>
      </c>
      <c r="H715" t="s">
        <v>29</v>
      </c>
      <c r="I715" t="s">
        <v>3195</v>
      </c>
    </row>
    <row r="716" spans="1:9" x14ac:dyDescent="0.35">
      <c r="A716" t="s">
        <v>3197</v>
      </c>
      <c r="B716" t="str">
        <f>"9780870819919"</f>
        <v>9780870819919</v>
      </c>
      <c r="C716" t="s">
        <v>3200</v>
      </c>
      <c r="D716" t="s">
        <v>3198</v>
      </c>
      <c r="E716" t="s">
        <v>3175</v>
      </c>
      <c r="F716" t="s">
        <v>3184</v>
      </c>
      <c r="H716" t="s">
        <v>29</v>
      </c>
      <c r="I716" t="s">
        <v>3199</v>
      </c>
    </row>
    <row r="717" spans="1:9" x14ac:dyDescent="0.35">
      <c r="A717" t="s">
        <v>3201</v>
      </c>
      <c r="B717" t="str">
        <f>"9780870819964"</f>
        <v>9780870819964</v>
      </c>
      <c r="C717" t="s">
        <v>3205</v>
      </c>
      <c r="D717" t="s">
        <v>3202</v>
      </c>
      <c r="E717" t="s">
        <v>3175</v>
      </c>
      <c r="F717" t="s">
        <v>3184</v>
      </c>
      <c r="H717" t="s">
        <v>3203</v>
      </c>
      <c r="I717" t="s">
        <v>3204</v>
      </c>
    </row>
    <row r="718" spans="1:9" x14ac:dyDescent="0.35">
      <c r="A718" t="s">
        <v>3206</v>
      </c>
      <c r="B718" t="str">
        <f>"9780870819940"</f>
        <v>9780870819940</v>
      </c>
      <c r="C718" t="s">
        <v>3209</v>
      </c>
      <c r="D718" t="s">
        <v>3207</v>
      </c>
      <c r="E718" t="s">
        <v>3175</v>
      </c>
      <c r="H718" t="s">
        <v>147</v>
      </c>
      <c r="I718" t="s">
        <v>3208</v>
      </c>
    </row>
    <row r="719" spans="1:9" x14ac:dyDescent="0.35">
      <c r="A719" t="s">
        <v>3210</v>
      </c>
      <c r="B719" t="str">
        <f>"9780870819865"</f>
        <v>9780870819865</v>
      </c>
      <c r="C719" t="s">
        <v>3213</v>
      </c>
      <c r="D719" t="s">
        <v>3211</v>
      </c>
      <c r="E719" t="s">
        <v>3175</v>
      </c>
      <c r="F719" t="s">
        <v>3184</v>
      </c>
      <c r="H719" t="s">
        <v>1866</v>
      </c>
      <c r="I719" t="s">
        <v>3212</v>
      </c>
    </row>
    <row r="720" spans="1:9" x14ac:dyDescent="0.35">
      <c r="A720" t="s">
        <v>3214</v>
      </c>
      <c r="B720" t="str">
        <f>"9781607320098"</f>
        <v>9781607320098</v>
      </c>
      <c r="C720" t="s">
        <v>3218</v>
      </c>
      <c r="D720" t="s">
        <v>3215</v>
      </c>
      <c r="E720" t="s">
        <v>3175</v>
      </c>
      <c r="H720" t="s">
        <v>3216</v>
      </c>
      <c r="I720" t="s">
        <v>3217</v>
      </c>
    </row>
    <row r="721" spans="1:9" x14ac:dyDescent="0.35">
      <c r="A721" t="s">
        <v>3219</v>
      </c>
      <c r="B721" t="str">
        <f>"9781607320029"</f>
        <v>9781607320029</v>
      </c>
      <c r="C721" t="s">
        <v>3222</v>
      </c>
      <c r="D721" t="s">
        <v>3220</v>
      </c>
      <c r="E721" t="s">
        <v>3175</v>
      </c>
      <c r="F721" t="s">
        <v>3184</v>
      </c>
      <c r="H721" t="s">
        <v>29</v>
      </c>
      <c r="I721" t="s">
        <v>3221</v>
      </c>
    </row>
    <row r="722" spans="1:9" x14ac:dyDescent="0.35">
      <c r="A722" t="s">
        <v>3223</v>
      </c>
      <c r="B722" t="str">
        <f>"9781607320425"</f>
        <v>9781607320425</v>
      </c>
      <c r="C722" t="s">
        <v>3226</v>
      </c>
      <c r="D722" t="s">
        <v>3224</v>
      </c>
      <c r="E722" t="s">
        <v>3175</v>
      </c>
      <c r="F722" t="s">
        <v>3184</v>
      </c>
      <c r="H722" t="s">
        <v>29</v>
      </c>
      <c r="I722" t="s">
        <v>3225</v>
      </c>
    </row>
    <row r="723" spans="1:9" x14ac:dyDescent="0.35">
      <c r="A723" t="s">
        <v>3227</v>
      </c>
      <c r="B723" t="str">
        <f>"9781607320197"</f>
        <v>9781607320197</v>
      </c>
      <c r="C723" t="s">
        <v>3230</v>
      </c>
      <c r="D723" t="s">
        <v>3228</v>
      </c>
      <c r="E723" t="s">
        <v>3175</v>
      </c>
      <c r="H723" t="s">
        <v>29</v>
      </c>
      <c r="I723" t="s">
        <v>3229</v>
      </c>
    </row>
    <row r="724" spans="1:9" x14ac:dyDescent="0.35">
      <c r="A724" t="s">
        <v>3231</v>
      </c>
      <c r="B724" t="str">
        <f>"9781607320333"</f>
        <v>9781607320333</v>
      </c>
      <c r="C724" t="s">
        <v>3234</v>
      </c>
      <c r="D724" t="s">
        <v>3232</v>
      </c>
      <c r="E724" t="s">
        <v>3175</v>
      </c>
      <c r="F724" t="s">
        <v>3184</v>
      </c>
      <c r="H724" t="s">
        <v>29</v>
      </c>
      <c r="I724" t="s">
        <v>3233</v>
      </c>
    </row>
    <row r="725" spans="1:9" x14ac:dyDescent="0.35">
      <c r="A725" t="s">
        <v>3235</v>
      </c>
      <c r="B725" t="str">
        <f>"9781607320210"</f>
        <v>9781607320210</v>
      </c>
      <c r="C725" t="s">
        <v>3238</v>
      </c>
      <c r="D725" t="s">
        <v>3236</v>
      </c>
      <c r="E725" t="s">
        <v>3175</v>
      </c>
      <c r="H725" t="s">
        <v>49</v>
      </c>
      <c r="I725" t="s">
        <v>3237</v>
      </c>
    </row>
    <row r="726" spans="1:9" x14ac:dyDescent="0.35">
      <c r="A726" t="s">
        <v>3239</v>
      </c>
      <c r="B726" t="str">
        <f>"9781607320722"</f>
        <v>9781607320722</v>
      </c>
      <c r="C726" t="s">
        <v>3242</v>
      </c>
      <c r="D726" t="s">
        <v>3240</v>
      </c>
      <c r="E726" t="s">
        <v>3175</v>
      </c>
      <c r="F726" t="s">
        <v>3184</v>
      </c>
      <c r="H726" t="s">
        <v>82</v>
      </c>
      <c r="I726" t="s">
        <v>3241</v>
      </c>
    </row>
    <row r="727" spans="1:9" x14ac:dyDescent="0.35">
      <c r="A727" t="s">
        <v>3243</v>
      </c>
      <c r="B727" t="str">
        <f>"9781607320173"</f>
        <v>9781607320173</v>
      </c>
      <c r="C727" t="s">
        <v>3246</v>
      </c>
      <c r="D727" t="s">
        <v>3244</v>
      </c>
      <c r="E727" t="s">
        <v>3175</v>
      </c>
      <c r="F727" t="s">
        <v>3184</v>
      </c>
      <c r="H727" t="s">
        <v>77</v>
      </c>
      <c r="I727" t="s">
        <v>3245</v>
      </c>
    </row>
    <row r="728" spans="1:9" x14ac:dyDescent="0.35">
      <c r="A728" t="s">
        <v>3247</v>
      </c>
      <c r="B728" t="str">
        <f>"9781607320654"</f>
        <v>9781607320654</v>
      </c>
      <c r="C728" t="s">
        <v>3251</v>
      </c>
      <c r="D728" t="s">
        <v>3249</v>
      </c>
      <c r="E728" t="s">
        <v>3175</v>
      </c>
      <c r="F728" t="s">
        <v>3248</v>
      </c>
      <c r="H728" t="s">
        <v>29</v>
      </c>
      <c r="I728" t="s">
        <v>3250</v>
      </c>
    </row>
    <row r="729" spans="1:9" x14ac:dyDescent="0.35">
      <c r="A729" t="s">
        <v>3252</v>
      </c>
      <c r="B729" t="str">
        <f>"9781607320616"</f>
        <v>9781607320616</v>
      </c>
      <c r="C729" t="s">
        <v>3255</v>
      </c>
      <c r="D729" t="s">
        <v>3253</v>
      </c>
      <c r="E729" t="s">
        <v>3175</v>
      </c>
      <c r="H729" t="s">
        <v>29</v>
      </c>
      <c r="I729" t="s">
        <v>3254</v>
      </c>
    </row>
    <row r="730" spans="1:9" x14ac:dyDescent="0.35">
      <c r="A730" t="s">
        <v>3256</v>
      </c>
      <c r="B730" t="str">
        <f>"9781607320630"</f>
        <v>9781607320630</v>
      </c>
      <c r="C730" t="s">
        <v>3259</v>
      </c>
      <c r="D730" t="s">
        <v>3257</v>
      </c>
      <c r="E730" t="s">
        <v>3175</v>
      </c>
      <c r="H730" t="s">
        <v>29</v>
      </c>
      <c r="I730" t="s">
        <v>3258</v>
      </c>
    </row>
    <row r="731" spans="1:9" x14ac:dyDescent="0.35">
      <c r="A731" t="s">
        <v>3260</v>
      </c>
      <c r="B731" t="str">
        <f>"9781607320913"</f>
        <v>9781607320913</v>
      </c>
      <c r="C731" t="s">
        <v>3263</v>
      </c>
      <c r="D731" t="s">
        <v>3261</v>
      </c>
      <c r="E731" t="s">
        <v>3175</v>
      </c>
      <c r="F731" t="s">
        <v>3248</v>
      </c>
      <c r="H731" t="s">
        <v>29</v>
      </c>
      <c r="I731" t="s">
        <v>3262</v>
      </c>
    </row>
    <row r="732" spans="1:9" x14ac:dyDescent="0.35">
      <c r="A732" t="s">
        <v>3264</v>
      </c>
      <c r="B732" t="str">
        <f>"9781607320951"</f>
        <v>9781607320951</v>
      </c>
      <c r="C732" t="s">
        <v>3267</v>
      </c>
      <c r="D732" t="s">
        <v>3265</v>
      </c>
      <c r="E732" t="s">
        <v>3175</v>
      </c>
      <c r="H732" t="s">
        <v>265</v>
      </c>
      <c r="I732" t="s">
        <v>3266</v>
      </c>
    </row>
    <row r="733" spans="1:9" x14ac:dyDescent="0.35">
      <c r="A733" t="s">
        <v>3268</v>
      </c>
      <c r="B733" t="str">
        <f>"9781607320975"</f>
        <v>9781607320975</v>
      </c>
      <c r="C733" t="s">
        <v>3271</v>
      </c>
      <c r="D733" t="s">
        <v>3269</v>
      </c>
      <c r="E733" t="s">
        <v>3175</v>
      </c>
      <c r="H733" t="s">
        <v>430</v>
      </c>
      <c r="I733" t="s">
        <v>3270</v>
      </c>
    </row>
    <row r="734" spans="1:9" x14ac:dyDescent="0.35">
      <c r="A734" t="s">
        <v>3272</v>
      </c>
      <c r="B734" t="str">
        <f>"9781607321491"</f>
        <v>9781607321491</v>
      </c>
      <c r="C734" t="s">
        <v>3275</v>
      </c>
      <c r="D734" t="s">
        <v>3273</v>
      </c>
      <c r="E734" t="s">
        <v>3175</v>
      </c>
      <c r="H734" t="s">
        <v>77</v>
      </c>
      <c r="I734" t="s">
        <v>3274</v>
      </c>
    </row>
    <row r="735" spans="1:9" x14ac:dyDescent="0.35">
      <c r="A735" t="s">
        <v>3276</v>
      </c>
      <c r="B735" t="str">
        <f>"9781607321552"</f>
        <v>9781607321552</v>
      </c>
      <c r="C735" t="s">
        <v>3279</v>
      </c>
      <c r="D735" t="s">
        <v>3277</v>
      </c>
      <c r="E735" t="s">
        <v>3175</v>
      </c>
      <c r="H735" t="s">
        <v>265</v>
      </c>
      <c r="I735" t="s">
        <v>3278</v>
      </c>
    </row>
    <row r="736" spans="1:9" x14ac:dyDescent="0.35">
      <c r="A736" t="s">
        <v>3280</v>
      </c>
      <c r="B736" t="str">
        <f>"9781607321743"</f>
        <v>9781607321743</v>
      </c>
      <c r="C736" t="s">
        <v>3283</v>
      </c>
      <c r="D736" t="s">
        <v>3281</v>
      </c>
      <c r="E736" t="s">
        <v>3175</v>
      </c>
      <c r="H736" t="s">
        <v>29</v>
      </c>
      <c r="I736" t="s">
        <v>3282</v>
      </c>
    </row>
    <row r="737" spans="1:9" x14ac:dyDescent="0.35">
      <c r="A737" t="s">
        <v>3284</v>
      </c>
      <c r="B737" t="str">
        <f>"9781607321590"</f>
        <v>9781607321590</v>
      </c>
      <c r="C737" t="s">
        <v>3286</v>
      </c>
      <c r="D737" t="s">
        <v>3253</v>
      </c>
      <c r="E737" t="s">
        <v>3175</v>
      </c>
      <c r="H737" t="s">
        <v>29</v>
      </c>
      <c r="I737" t="s">
        <v>3285</v>
      </c>
    </row>
    <row r="738" spans="1:9" x14ac:dyDescent="0.35">
      <c r="A738" t="s">
        <v>3287</v>
      </c>
      <c r="B738" t="str">
        <f>"9781607321613"</f>
        <v>9781607321613</v>
      </c>
      <c r="C738" t="s">
        <v>3290</v>
      </c>
      <c r="D738" t="s">
        <v>3288</v>
      </c>
      <c r="E738" t="s">
        <v>3175</v>
      </c>
      <c r="F738" t="s">
        <v>3184</v>
      </c>
      <c r="H738" t="s">
        <v>29</v>
      </c>
      <c r="I738" t="s">
        <v>3289</v>
      </c>
    </row>
    <row r="739" spans="1:9" x14ac:dyDescent="0.35">
      <c r="A739" t="s">
        <v>3291</v>
      </c>
      <c r="B739" t="str">
        <f>"9781607322177"</f>
        <v>9781607322177</v>
      </c>
      <c r="C739" t="s">
        <v>3294</v>
      </c>
      <c r="D739" t="s">
        <v>3292</v>
      </c>
      <c r="E739" t="s">
        <v>3175</v>
      </c>
      <c r="H739" t="s">
        <v>29</v>
      </c>
      <c r="I739" t="s">
        <v>3293</v>
      </c>
    </row>
    <row r="740" spans="1:9" x14ac:dyDescent="0.35">
      <c r="A740" t="s">
        <v>3295</v>
      </c>
      <c r="B740" t="str">
        <f>"9781607322122"</f>
        <v>9781607322122</v>
      </c>
      <c r="C740" t="s">
        <v>3298</v>
      </c>
      <c r="D740" t="s">
        <v>3296</v>
      </c>
      <c r="E740" t="s">
        <v>3175</v>
      </c>
      <c r="H740" t="s">
        <v>29</v>
      </c>
      <c r="I740" t="s">
        <v>3297</v>
      </c>
    </row>
    <row r="741" spans="1:9" x14ac:dyDescent="0.35">
      <c r="A741" t="s">
        <v>3299</v>
      </c>
      <c r="B741" t="str">
        <f>"9781607320463"</f>
        <v>9781607320463</v>
      </c>
      <c r="C741" t="s">
        <v>3302</v>
      </c>
      <c r="D741" t="s">
        <v>3300</v>
      </c>
      <c r="E741" t="s">
        <v>3175</v>
      </c>
      <c r="H741" t="s">
        <v>29</v>
      </c>
      <c r="I741" t="s">
        <v>3301</v>
      </c>
    </row>
    <row r="742" spans="1:9" x14ac:dyDescent="0.35">
      <c r="A742" t="s">
        <v>3303</v>
      </c>
      <c r="B742" t="str">
        <f>"9780870818554"</f>
        <v>9780870818554</v>
      </c>
      <c r="C742" t="s">
        <v>3306</v>
      </c>
      <c r="D742" t="s">
        <v>3304</v>
      </c>
      <c r="E742" t="s">
        <v>3175</v>
      </c>
      <c r="H742" t="s">
        <v>29</v>
      </c>
      <c r="I742" t="s">
        <v>3305</v>
      </c>
    </row>
    <row r="743" spans="1:9" x14ac:dyDescent="0.35">
      <c r="A743" t="s">
        <v>3307</v>
      </c>
      <c r="B743" t="str">
        <f>"9781607322740"</f>
        <v>9781607322740</v>
      </c>
      <c r="C743" t="s">
        <v>3310</v>
      </c>
      <c r="D743" t="s">
        <v>3308</v>
      </c>
      <c r="E743" t="s">
        <v>3175</v>
      </c>
      <c r="H743" t="s">
        <v>29</v>
      </c>
      <c r="I743" t="s">
        <v>3309</v>
      </c>
    </row>
    <row r="744" spans="1:9" x14ac:dyDescent="0.35">
      <c r="A744" t="s">
        <v>3311</v>
      </c>
      <c r="B744" t="str">
        <f>"9781607322788"</f>
        <v>9781607322788</v>
      </c>
      <c r="C744" t="s">
        <v>3314</v>
      </c>
      <c r="D744" t="s">
        <v>3312</v>
      </c>
      <c r="E744" t="s">
        <v>3175</v>
      </c>
      <c r="H744" t="s">
        <v>29</v>
      </c>
      <c r="I744" t="s">
        <v>3313</v>
      </c>
    </row>
    <row r="745" spans="1:9" x14ac:dyDescent="0.35">
      <c r="A745" t="s">
        <v>3315</v>
      </c>
      <c r="B745" t="str">
        <f>"9781607322764"</f>
        <v>9781607322764</v>
      </c>
      <c r="C745" t="s">
        <v>3318</v>
      </c>
      <c r="D745" t="s">
        <v>3316</v>
      </c>
      <c r="E745" t="s">
        <v>3175</v>
      </c>
      <c r="H745" t="s">
        <v>29</v>
      </c>
      <c r="I745" t="s">
        <v>3317</v>
      </c>
    </row>
    <row r="746" spans="1:9" x14ac:dyDescent="0.35">
      <c r="A746" t="s">
        <v>3319</v>
      </c>
      <c r="B746" t="str">
        <f>"9781607322825"</f>
        <v>9781607322825</v>
      </c>
      <c r="C746" t="s">
        <v>3322</v>
      </c>
      <c r="D746" t="s">
        <v>3320</v>
      </c>
      <c r="E746" t="s">
        <v>3175</v>
      </c>
      <c r="H746" t="s">
        <v>82</v>
      </c>
      <c r="I746" t="s">
        <v>3321</v>
      </c>
    </row>
    <row r="747" spans="1:9" x14ac:dyDescent="0.35">
      <c r="A747" t="s">
        <v>3323</v>
      </c>
      <c r="B747" t="str">
        <f>"9781607322801"</f>
        <v>9781607322801</v>
      </c>
      <c r="C747" t="s">
        <v>3326</v>
      </c>
      <c r="D747" t="s">
        <v>3324</v>
      </c>
      <c r="E747" t="s">
        <v>3175</v>
      </c>
      <c r="H747" t="s">
        <v>29</v>
      </c>
      <c r="I747" t="s">
        <v>3325</v>
      </c>
    </row>
    <row r="748" spans="1:9" x14ac:dyDescent="0.35">
      <c r="A748" t="s">
        <v>3327</v>
      </c>
      <c r="B748" t="str">
        <f>"9781607323013"</f>
        <v>9781607323013</v>
      </c>
      <c r="C748" t="s">
        <v>3330</v>
      </c>
      <c r="D748" t="s">
        <v>3328</v>
      </c>
      <c r="E748" t="s">
        <v>3175</v>
      </c>
      <c r="H748" t="s">
        <v>29</v>
      </c>
      <c r="I748" t="s">
        <v>3329</v>
      </c>
    </row>
    <row r="749" spans="1:9" x14ac:dyDescent="0.35">
      <c r="A749" t="s">
        <v>3331</v>
      </c>
      <c r="B749" t="str">
        <f>"9781607323204"</f>
        <v>9781607323204</v>
      </c>
      <c r="C749" t="s">
        <v>3334</v>
      </c>
      <c r="D749" t="s">
        <v>3332</v>
      </c>
      <c r="E749" t="s">
        <v>3175</v>
      </c>
      <c r="H749" t="s">
        <v>29</v>
      </c>
      <c r="I749" t="s">
        <v>3333</v>
      </c>
    </row>
    <row r="750" spans="1:9" x14ac:dyDescent="0.35">
      <c r="A750" t="s">
        <v>3335</v>
      </c>
      <c r="B750" t="str">
        <f>"9781607323297"</f>
        <v>9781607323297</v>
      </c>
      <c r="C750" t="s">
        <v>3338</v>
      </c>
      <c r="D750" t="s">
        <v>3336</v>
      </c>
      <c r="E750" t="s">
        <v>3175</v>
      </c>
      <c r="H750" t="s">
        <v>29</v>
      </c>
      <c r="I750" t="s">
        <v>3337</v>
      </c>
    </row>
    <row r="751" spans="1:9" x14ac:dyDescent="0.35">
      <c r="A751" t="s">
        <v>3339</v>
      </c>
      <c r="B751" t="str">
        <f>"9780870819407"</f>
        <v>9780870819407</v>
      </c>
      <c r="C751" t="s">
        <v>3343</v>
      </c>
      <c r="D751" t="s">
        <v>3341</v>
      </c>
      <c r="E751" t="s">
        <v>3175</v>
      </c>
      <c r="F751" t="s">
        <v>3340</v>
      </c>
      <c r="H751" t="s">
        <v>29</v>
      </c>
      <c r="I751" t="s">
        <v>3342</v>
      </c>
    </row>
    <row r="752" spans="1:9" x14ac:dyDescent="0.35">
      <c r="A752" t="s">
        <v>3344</v>
      </c>
      <c r="B752" t="str">
        <f>"9780870819209"</f>
        <v>9780870819209</v>
      </c>
      <c r="C752" t="s">
        <v>3347</v>
      </c>
      <c r="D752" t="s">
        <v>3345</v>
      </c>
      <c r="E752" t="s">
        <v>3175</v>
      </c>
      <c r="F752" t="s">
        <v>3184</v>
      </c>
      <c r="H752" t="s">
        <v>1866</v>
      </c>
      <c r="I752" t="s">
        <v>3346</v>
      </c>
    </row>
    <row r="753" spans="1:9" x14ac:dyDescent="0.35">
      <c r="A753" t="s">
        <v>3348</v>
      </c>
      <c r="B753" t="str">
        <f>"9781554582907"</f>
        <v>9781554582907</v>
      </c>
      <c r="C753" t="s">
        <v>3353</v>
      </c>
      <c r="D753" t="s">
        <v>3350</v>
      </c>
      <c r="E753" t="s">
        <v>1081</v>
      </c>
      <c r="F753" t="s">
        <v>3349</v>
      </c>
      <c r="H753" t="s">
        <v>3351</v>
      </c>
      <c r="I753" t="s">
        <v>3352</v>
      </c>
    </row>
    <row r="754" spans="1:9" x14ac:dyDescent="0.35">
      <c r="A754" t="s">
        <v>3354</v>
      </c>
      <c r="B754" t="str">
        <f>"9781443864312"</f>
        <v>9781443864312</v>
      </c>
      <c r="C754" t="s">
        <v>3357</v>
      </c>
      <c r="D754" t="s">
        <v>3355</v>
      </c>
      <c r="E754" t="s">
        <v>1829</v>
      </c>
      <c r="H754" t="s">
        <v>201</v>
      </c>
      <c r="I754" t="s">
        <v>3356</v>
      </c>
    </row>
    <row r="755" spans="1:9" x14ac:dyDescent="0.35">
      <c r="A755" t="s">
        <v>3358</v>
      </c>
      <c r="B755" t="str">
        <f>"9780198037484"</f>
        <v>9780198037484</v>
      </c>
      <c r="C755" t="s">
        <v>3361</v>
      </c>
      <c r="D755" t="s">
        <v>3359</v>
      </c>
      <c r="E755" t="s">
        <v>74</v>
      </c>
      <c r="H755" t="s">
        <v>82</v>
      </c>
      <c r="I755" t="s">
        <v>3360</v>
      </c>
    </row>
    <row r="756" spans="1:9" x14ac:dyDescent="0.35">
      <c r="A756" t="s">
        <v>3362</v>
      </c>
      <c r="B756" t="str">
        <f>"9780199793969"</f>
        <v>9780199793969</v>
      </c>
      <c r="C756" t="s">
        <v>3366</v>
      </c>
      <c r="D756" t="s">
        <v>3364</v>
      </c>
      <c r="E756" t="s">
        <v>241</v>
      </c>
      <c r="F756" t="s">
        <v>3363</v>
      </c>
      <c r="H756" t="s">
        <v>17</v>
      </c>
      <c r="I756" t="s">
        <v>3365</v>
      </c>
    </row>
    <row r="757" spans="1:9" x14ac:dyDescent="0.35">
      <c r="A757" t="s">
        <v>3367</v>
      </c>
      <c r="B757" t="str">
        <f>"9780199876914"</f>
        <v>9780199876914</v>
      </c>
      <c r="C757" t="s">
        <v>3370</v>
      </c>
      <c r="D757" t="s">
        <v>3368</v>
      </c>
      <c r="E757" t="s">
        <v>241</v>
      </c>
      <c r="H757" t="s">
        <v>201</v>
      </c>
      <c r="I757" t="s">
        <v>3369</v>
      </c>
    </row>
    <row r="758" spans="1:9" x14ac:dyDescent="0.35">
      <c r="A758" t="s">
        <v>3371</v>
      </c>
      <c r="B758" t="str">
        <f>"9780203123119"</f>
        <v>9780203123119</v>
      </c>
      <c r="C758" t="s">
        <v>3374</v>
      </c>
      <c r="D758" t="s">
        <v>3372</v>
      </c>
      <c r="E758" t="s">
        <v>9</v>
      </c>
      <c r="H758" t="s">
        <v>233</v>
      </c>
      <c r="I758" t="s">
        <v>3373</v>
      </c>
    </row>
    <row r="759" spans="1:9" x14ac:dyDescent="0.35">
      <c r="A759" t="s">
        <v>3375</v>
      </c>
      <c r="B759" t="str">
        <f>"9781611921496"</f>
        <v>9781611921496</v>
      </c>
      <c r="C759" t="s">
        <v>3379</v>
      </c>
      <c r="D759" t="s">
        <v>3377</v>
      </c>
      <c r="E759" t="s">
        <v>3376</v>
      </c>
      <c r="H759" t="s">
        <v>201</v>
      </c>
      <c r="I759" t="s">
        <v>3378</v>
      </c>
    </row>
    <row r="760" spans="1:9" x14ac:dyDescent="0.35">
      <c r="A760" t="s">
        <v>3380</v>
      </c>
      <c r="B760" t="str">
        <f>"9781631010613"</f>
        <v>9781631010613</v>
      </c>
      <c r="C760" t="s">
        <v>3384</v>
      </c>
      <c r="D760" t="s">
        <v>3382</v>
      </c>
      <c r="E760" t="s">
        <v>3381</v>
      </c>
      <c r="H760" t="s">
        <v>29</v>
      </c>
      <c r="I760" t="s">
        <v>3383</v>
      </c>
    </row>
    <row r="761" spans="1:9" x14ac:dyDescent="0.35">
      <c r="A761" t="s">
        <v>3385</v>
      </c>
      <c r="B761" t="str">
        <f>"9781631010835"</f>
        <v>9781631010835</v>
      </c>
      <c r="C761" t="s">
        <v>3388</v>
      </c>
      <c r="D761" t="s">
        <v>3386</v>
      </c>
      <c r="E761" t="s">
        <v>3381</v>
      </c>
      <c r="H761" t="s">
        <v>2235</v>
      </c>
      <c r="I761" t="s">
        <v>3387</v>
      </c>
    </row>
    <row r="762" spans="1:9" x14ac:dyDescent="0.35">
      <c r="A762" t="s">
        <v>3389</v>
      </c>
      <c r="B762" t="str">
        <f>"9780801458804"</f>
        <v>9780801458804</v>
      </c>
      <c r="C762" t="s">
        <v>3393</v>
      </c>
      <c r="D762" t="s">
        <v>3391</v>
      </c>
      <c r="E762" t="s">
        <v>3390</v>
      </c>
      <c r="H762" t="s">
        <v>140</v>
      </c>
      <c r="I762" t="s">
        <v>3392</v>
      </c>
    </row>
    <row r="763" spans="1:9" x14ac:dyDescent="0.35">
      <c r="A763" t="s">
        <v>3394</v>
      </c>
      <c r="B763" t="str">
        <f>"9780801461729"</f>
        <v>9780801461729</v>
      </c>
      <c r="C763" t="s">
        <v>3397</v>
      </c>
      <c r="D763" t="s">
        <v>3395</v>
      </c>
      <c r="E763" t="s">
        <v>3390</v>
      </c>
      <c r="H763" t="s">
        <v>29</v>
      </c>
      <c r="I763" t="s">
        <v>3396</v>
      </c>
    </row>
    <row r="764" spans="1:9" x14ac:dyDescent="0.35">
      <c r="A764" t="s">
        <v>3398</v>
      </c>
      <c r="B764" t="str">
        <f>"9780801464126"</f>
        <v>9780801464126</v>
      </c>
      <c r="C764" t="s">
        <v>3401</v>
      </c>
      <c r="D764" t="s">
        <v>3399</v>
      </c>
      <c r="E764" t="s">
        <v>3390</v>
      </c>
      <c r="H764" t="s">
        <v>140</v>
      </c>
      <c r="I764" t="s">
        <v>3400</v>
      </c>
    </row>
    <row r="765" spans="1:9" x14ac:dyDescent="0.35">
      <c r="A765" t="s">
        <v>3402</v>
      </c>
      <c r="B765" t="str">
        <f>"9780801465857"</f>
        <v>9780801465857</v>
      </c>
      <c r="C765" t="s">
        <v>3405</v>
      </c>
      <c r="D765" t="s">
        <v>3403</v>
      </c>
      <c r="E765" t="s">
        <v>3390</v>
      </c>
      <c r="H765" t="s">
        <v>1248</v>
      </c>
      <c r="I765" t="s">
        <v>3404</v>
      </c>
    </row>
    <row r="766" spans="1:9" x14ac:dyDescent="0.35">
      <c r="A766" t="s">
        <v>3406</v>
      </c>
      <c r="B766" t="str">
        <f>"9780801470394"</f>
        <v>9780801470394</v>
      </c>
      <c r="C766" t="s">
        <v>3409</v>
      </c>
      <c r="D766" t="s">
        <v>3407</v>
      </c>
      <c r="E766" t="s">
        <v>3390</v>
      </c>
      <c r="H766" t="s">
        <v>29</v>
      </c>
      <c r="I766" t="s">
        <v>3408</v>
      </c>
    </row>
    <row r="767" spans="1:9" x14ac:dyDescent="0.35">
      <c r="A767" t="s">
        <v>3410</v>
      </c>
      <c r="B767" t="str">
        <f>"9780823232642"</f>
        <v>9780823232642</v>
      </c>
      <c r="C767" t="s">
        <v>3414</v>
      </c>
      <c r="D767" t="s">
        <v>3412</v>
      </c>
      <c r="E767" t="s">
        <v>3411</v>
      </c>
      <c r="H767" t="s">
        <v>29</v>
      </c>
      <c r="I767" t="s">
        <v>3413</v>
      </c>
    </row>
    <row r="768" spans="1:9" x14ac:dyDescent="0.35">
      <c r="A768" t="s">
        <v>3415</v>
      </c>
      <c r="B768" t="str">
        <f>"9781552383131"</f>
        <v>9781552383131</v>
      </c>
      <c r="C768" t="s">
        <v>3420</v>
      </c>
      <c r="D768" t="s">
        <v>3418</v>
      </c>
      <c r="E768" t="s">
        <v>3416</v>
      </c>
      <c r="F768" t="s">
        <v>3417</v>
      </c>
      <c r="H768" t="s">
        <v>2841</v>
      </c>
      <c r="I768" t="s">
        <v>3419</v>
      </c>
    </row>
    <row r="769" spans="1:9" x14ac:dyDescent="0.35">
      <c r="A769" t="s">
        <v>3421</v>
      </c>
      <c r="B769" t="str">
        <f>"9780674036710"</f>
        <v>9780674036710</v>
      </c>
      <c r="C769" t="s">
        <v>3425</v>
      </c>
      <c r="D769" t="s">
        <v>3423</v>
      </c>
      <c r="E769" t="s">
        <v>3422</v>
      </c>
      <c r="H769" t="s">
        <v>29</v>
      </c>
      <c r="I769" t="s">
        <v>3424</v>
      </c>
    </row>
    <row r="770" spans="1:9" x14ac:dyDescent="0.35">
      <c r="A770" t="s">
        <v>3426</v>
      </c>
      <c r="B770" t="str">
        <f>"9780674020528"</f>
        <v>9780674020528</v>
      </c>
      <c r="C770" t="s">
        <v>3429</v>
      </c>
      <c r="D770" t="s">
        <v>3427</v>
      </c>
      <c r="E770" t="s">
        <v>3422</v>
      </c>
      <c r="H770" t="s">
        <v>44</v>
      </c>
      <c r="I770" t="s">
        <v>3428</v>
      </c>
    </row>
    <row r="771" spans="1:9" x14ac:dyDescent="0.35">
      <c r="A771" t="s">
        <v>3430</v>
      </c>
      <c r="B771" t="str">
        <f>"9780674038707"</f>
        <v>9780674038707</v>
      </c>
      <c r="C771" t="s">
        <v>3433</v>
      </c>
      <c r="D771" t="s">
        <v>3431</v>
      </c>
      <c r="E771" t="s">
        <v>3422</v>
      </c>
      <c r="H771" t="s">
        <v>233</v>
      </c>
      <c r="I771" t="s">
        <v>3432</v>
      </c>
    </row>
    <row r="772" spans="1:9" x14ac:dyDescent="0.35">
      <c r="A772" t="s">
        <v>3434</v>
      </c>
      <c r="B772" t="str">
        <f>"9780674039230"</f>
        <v>9780674039230</v>
      </c>
      <c r="C772" t="s">
        <v>3437</v>
      </c>
      <c r="D772" t="s">
        <v>3435</v>
      </c>
      <c r="E772" t="s">
        <v>3422</v>
      </c>
      <c r="H772" t="s">
        <v>2816</v>
      </c>
      <c r="I772" t="s">
        <v>3436</v>
      </c>
    </row>
    <row r="773" spans="1:9" x14ac:dyDescent="0.35">
      <c r="A773" t="s">
        <v>3438</v>
      </c>
      <c r="B773" t="str">
        <f>"9780674054523"</f>
        <v>9780674054523</v>
      </c>
      <c r="C773" t="s">
        <v>3441</v>
      </c>
      <c r="D773" t="s">
        <v>3439</v>
      </c>
      <c r="E773" t="s">
        <v>3422</v>
      </c>
      <c r="H773" t="s">
        <v>140</v>
      </c>
      <c r="I773" t="s">
        <v>3440</v>
      </c>
    </row>
    <row r="774" spans="1:9" x14ac:dyDescent="0.35">
      <c r="A774" t="s">
        <v>3442</v>
      </c>
      <c r="B774" t="str">
        <f>"9780674053953"</f>
        <v>9780674053953</v>
      </c>
      <c r="C774" t="s">
        <v>3445</v>
      </c>
      <c r="D774" t="s">
        <v>3443</v>
      </c>
      <c r="E774" t="s">
        <v>3422</v>
      </c>
      <c r="H774" t="s">
        <v>29</v>
      </c>
      <c r="I774" t="s">
        <v>3444</v>
      </c>
    </row>
    <row r="775" spans="1:9" x14ac:dyDescent="0.35">
      <c r="A775" t="s">
        <v>3446</v>
      </c>
      <c r="B775" t="str">
        <f>"9780674054745"</f>
        <v>9780674054745</v>
      </c>
      <c r="C775" t="s">
        <v>3450</v>
      </c>
      <c r="D775" t="s">
        <v>3447</v>
      </c>
      <c r="E775" t="s">
        <v>3422</v>
      </c>
      <c r="H775" t="s">
        <v>3448</v>
      </c>
      <c r="I775" t="s">
        <v>3449</v>
      </c>
    </row>
    <row r="776" spans="1:9" x14ac:dyDescent="0.35">
      <c r="A776" t="s">
        <v>3451</v>
      </c>
      <c r="B776" t="str">
        <f>"9780674067172"</f>
        <v>9780674067172</v>
      </c>
      <c r="C776" t="s">
        <v>3454</v>
      </c>
      <c r="D776" t="s">
        <v>3452</v>
      </c>
      <c r="E776" t="s">
        <v>3422</v>
      </c>
      <c r="H776" t="s">
        <v>29</v>
      </c>
      <c r="I776" t="s">
        <v>3453</v>
      </c>
    </row>
    <row r="777" spans="1:9" x14ac:dyDescent="0.35">
      <c r="A777" t="s">
        <v>3455</v>
      </c>
      <c r="B777" t="str">
        <f>"9780674073470"</f>
        <v>9780674073470</v>
      </c>
      <c r="C777" t="s">
        <v>3458</v>
      </c>
      <c r="D777" t="s">
        <v>3456</v>
      </c>
      <c r="E777" t="s">
        <v>3422</v>
      </c>
      <c r="H777" t="s">
        <v>87</v>
      </c>
      <c r="I777" t="s">
        <v>3457</v>
      </c>
    </row>
    <row r="778" spans="1:9" x14ac:dyDescent="0.35">
      <c r="A778" t="s">
        <v>3459</v>
      </c>
      <c r="B778" t="str">
        <f>"9780674075603"</f>
        <v>9780674075603</v>
      </c>
      <c r="C778" t="s">
        <v>3462</v>
      </c>
      <c r="D778" t="s">
        <v>3460</v>
      </c>
      <c r="E778" t="s">
        <v>3422</v>
      </c>
      <c r="H778" t="s">
        <v>29</v>
      </c>
      <c r="I778" t="s">
        <v>3461</v>
      </c>
    </row>
    <row r="779" spans="1:9" x14ac:dyDescent="0.35">
      <c r="A779" t="s">
        <v>3463</v>
      </c>
      <c r="B779" t="str">
        <f>"9780674726222"</f>
        <v>9780674726222</v>
      </c>
      <c r="C779" t="s">
        <v>3466</v>
      </c>
      <c r="D779" t="s">
        <v>3464</v>
      </c>
      <c r="E779" t="s">
        <v>3422</v>
      </c>
      <c r="H779" t="s">
        <v>111</v>
      </c>
      <c r="I779" t="s">
        <v>3465</v>
      </c>
    </row>
    <row r="780" spans="1:9" x14ac:dyDescent="0.35">
      <c r="A780" t="s">
        <v>3467</v>
      </c>
      <c r="B780" t="str">
        <f>"9780801892226"</f>
        <v>9780801892226</v>
      </c>
      <c r="C780" t="s">
        <v>3471</v>
      </c>
      <c r="D780" t="s">
        <v>3469</v>
      </c>
      <c r="E780" t="s">
        <v>3468</v>
      </c>
      <c r="H780" t="s">
        <v>29</v>
      </c>
      <c r="I780" t="s">
        <v>3470</v>
      </c>
    </row>
    <row r="781" spans="1:9" x14ac:dyDescent="0.35">
      <c r="A781" t="s">
        <v>3472</v>
      </c>
      <c r="B781" t="str">
        <f>"9789048504954"</f>
        <v>9789048504954</v>
      </c>
      <c r="C781" t="s">
        <v>3476</v>
      </c>
      <c r="D781" t="s">
        <v>3474</v>
      </c>
      <c r="E781" t="s">
        <v>3473</v>
      </c>
      <c r="H781" t="s">
        <v>29</v>
      </c>
      <c r="I781" t="s">
        <v>3475</v>
      </c>
    </row>
    <row r="782" spans="1:9" x14ac:dyDescent="0.35">
      <c r="A782" t="s">
        <v>3477</v>
      </c>
      <c r="B782" t="str">
        <f>"9781626371576"</f>
        <v>9781626371576</v>
      </c>
      <c r="C782" t="s">
        <v>3481</v>
      </c>
      <c r="D782" t="s">
        <v>3479</v>
      </c>
      <c r="E782" t="s">
        <v>3478</v>
      </c>
      <c r="H782" t="s">
        <v>55</v>
      </c>
      <c r="I782" t="s">
        <v>3480</v>
      </c>
    </row>
    <row r="783" spans="1:9" x14ac:dyDescent="0.35">
      <c r="A783" t="s">
        <v>3482</v>
      </c>
      <c r="B783" t="str">
        <f>"9780773572133"</f>
        <v>9780773572133</v>
      </c>
      <c r="C783" t="s">
        <v>3487</v>
      </c>
      <c r="D783" t="s">
        <v>3485</v>
      </c>
      <c r="E783" t="s">
        <v>3483</v>
      </c>
      <c r="F783" t="s">
        <v>3484</v>
      </c>
      <c r="H783" t="s">
        <v>3448</v>
      </c>
      <c r="I783" t="s">
        <v>3486</v>
      </c>
    </row>
    <row r="784" spans="1:9" x14ac:dyDescent="0.35">
      <c r="A784" t="s">
        <v>3488</v>
      </c>
      <c r="B784" t="str">
        <f>"9780773571891"</f>
        <v>9780773571891</v>
      </c>
      <c r="C784" t="s">
        <v>3493</v>
      </c>
      <c r="D784" t="s">
        <v>3491</v>
      </c>
      <c r="E784" t="s">
        <v>3489</v>
      </c>
      <c r="F784" t="s">
        <v>3490</v>
      </c>
      <c r="H784" t="s">
        <v>111</v>
      </c>
      <c r="I784" t="s">
        <v>3492</v>
      </c>
    </row>
    <row r="785" spans="1:9" x14ac:dyDescent="0.35">
      <c r="A785" t="s">
        <v>3494</v>
      </c>
      <c r="B785" t="str">
        <f>"9780773571983"</f>
        <v>9780773571983</v>
      </c>
      <c r="C785" t="s">
        <v>3498</v>
      </c>
      <c r="D785" t="s">
        <v>3495</v>
      </c>
      <c r="E785" t="s">
        <v>3489</v>
      </c>
      <c r="F785" t="s">
        <v>3490</v>
      </c>
      <c r="H785" t="s">
        <v>3496</v>
      </c>
      <c r="I785" t="s">
        <v>3497</v>
      </c>
    </row>
    <row r="786" spans="1:9" x14ac:dyDescent="0.35">
      <c r="A786" t="s">
        <v>3499</v>
      </c>
      <c r="B786" t="str">
        <f>"9780773568525"</f>
        <v>9780773568525</v>
      </c>
      <c r="C786" t="s">
        <v>3502</v>
      </c>
      <c r="D786" t="s">
        <v>3500</v>
      </c>
      <c r="E786" t="s">
        <v>3483</v>
      </c>
      <c r="H786" t="s">
        <v>44</v>
      </c>
      <c r="I786" t="s">
        <v>3501</v>
      </c>
    </row>
    <row r="787" spans="1:9" x14ac:dyDescent="0.35">
      <c r="A787" t="s">
        <v>3503</v>
      </c>
      <c r="B787" t="str">
        <f>"9780773572461"</f>
        <v>9780773572461</v>
      </c>
      <c r="C787" t="s">
        <v>3506</v>
      </c>
      <c r="D787" t="s">
        <v>3504</v>
      </c>
      <c r="E787" t="s">
        <v>3483</v>
      </c>
      <c r="H787" t="s">
        <v>29</v>
      </c>
      <c r="I787" t="s">
        <v>3505</v>
      </c>
    </row>
    <row r="788" spans="1:9" x14ac:dyDescent="0.35">
      <c r="A788" t="s">
        <v>3507</v>
      </c>
      <c r="B788" t="str">
        <f>"9780773572522"</f>
        <v>9780773572522</v>
      </c>
      <c r="C788" t="s">
        <v>3511</v>
      </c>
      <c r="D788" t="s">
        <v>3509</v>
      </c>
      <c r="E788" t="s">
        <v>3483</v>
      </c>
      <c r="F788" t="s">
        <v>3508</v>
      </c>
      <c r="H788" t="s">
        <v>29</v>
      </c>
      <c r="I788" t="s">
        <v>3510</v>
      </c>
    </row>
    <row r="789" spans="1:9" x14ac:dyDescent="0.35">
      <c r="A789" t="s">
        <v>3512</v>
      </c>
      <c r="B789" t="str">
        <f>"9780773572973"</f>
        <v>9780773572973</v>
      </c>
      <c r="C789" t="s">
        <v>3515</v>
      </c>
      <c r="D789" t="s">
        <v>3513</v>
      </c>
      <c r="E789" t="s">
        <v>3483</v>
      </c>
      <c r="H789" t="s">
        <v>82</v>
      </c>
      <c r="I789" t="s">
        <v>3514</v>
      </c>
    </row>
    <row r="790" spans="1:9" x14ac:dyDescent="0.35">
      <c r="A790" t="s">
        <v>3516</v>
      </c>
      <c r="B790" t="str">
        <f>"9780773572225"</f>
        <v>9780773572225</v>
      </c>
      <c r="C790" t="s">
        <v>3519</v>
      </c>
      <c r="D790" t="s">
        <v>3517</v>
      </c>
      <c r="E790" t="s">
        <v>3489</v>
      </c>
      <c r="F790" t="s">
        <v>3490</v>
      </c>
      <c r="H790" t="s">
        <v>23</v>
      </c>
      <c r="I790" t="s">
        <v>3518</v>
      </c>
    </row>
    <row r="791" spans="1:9" x14ac:dyDescent="0.35">
      <c r="A791" t="s">
        <v>3520</v>
      </c>
      <c r="B791" t="str">
        <f>"9780773576056"</f>
        <v>9780773576056</v>
      </c>
      <c r="C791" t="s">
        <v>3523</v>
      </c>
      <c r="D791" t="s">
        <v>3521</v>
      </c>
      <c r="E791" t="s">
        <v>3489</v>
      </c>
      <c r="F791" t="s">
        <v>3490</v>
      </c>
      <c r="H791" t="s">
        <v>1296</v>
      </c>
      <c r="I791" t="s">
        <v>3522</v>
      </c>
    </row>
    <row r="792" spans="1:9" x14ac:dyDescent="0.35">
      <c r="A792" t="s">
        <v>3524</v>
      </c>
      <c r="B792" t="str">
        <f>"9780773576254"</f>
        <v>9780773576254</v>
      </c>
      <c r="C792" t="s">
        <v>3528</v>
      </c>
      <c r="D792" t="s">
        <v>3525</v>
      </c>
      <c r="E792" t="s">
        <v>3483</v>
      </c>
      <c r="F792" t="s">
        <v>3508</v>
      </c>
      <c r="H792" t="s">
        <v>3526</v>
      </c>
      <c r="I792" t="s">
        <v>3527</v>
      </c>
    </row>
    <row r="793" spans="1:9" x14ac:dyDescent="0.35">
      <c r="A793" t="s">
        <v>3529</v>
      </c>
      <c r="B793" t="str">
        <f>"9780773576926"</f>
        <v>9780773576926</v>
      </c>
      <c r="C793" t="s">
        <v>3533</v>
      </c>
      <c r="D793" t="s">
        <v>3531</v>
      </c>
      <c r="E793" t="s">
        <v>3489</v>
      </c>
      <c r="F793" t="s">
        <v>3530</v>
      </c>
      <c r="H793" t="s">
        <v>265</v>
      </c>
      <c r="I793" t="s">
        <v>3532</v>
      </c>
    </row>
    <row r="794" spans="1:9" x14ac:dyDescent="0.35">
      <c r="A794" t="s">
        <v>3534</v>
      </c>
      <c r="B794" t="str">
        <f>"9780773576537"</f>
        <v>9780773576537</v>
      </c>
      <c r="C794" t="s">
        <v>3537</v>
      </c>
      <c r="D794" t="s">
        <v>3535</v>
      </c>
      <c r="E794" t="s">
        <v>3489</v>
      </c>
      <c r="F794" t="s">
        <v>3530</v>
      </c>
      <c r="H794" t="s">
        <v>29</v>
      </c>
      <c r="I794" t="s">
        <v>3536</v>
      </c>
    </row>
    <row r="795" spans="1:9" x14ac:dyDescent="0.35">
      <c r="A795" t="s">
        <v>3538</v>
      </c>
      <c r="B795" t="str">
        <f>"9780773576582"</f>
        <v>9780773576582</v>
      </c>
      <c r="C795" t="s">
        <v>3541</v>
      </c>
      <c r="D795" t="s">
        <v>3539</v>
      </c>
      <c r="E795" t="s">
        <v>3483</v>
      </c>
      <c r="F795" t="s">
        <v>3508</v>
      </c>
      <c r="H795" t="s">
        <v>233</v>
      </c>
      <c r="I795" t="s">
        <v>3540</v>
      </c>
    </row>
    <row r="796" spans="1:9" x14ac:dyDescent="0.35">
      <c r="A796" t="s">
        <v>3542</v>
      </c>
      <c r="B796" t="str">
        <f>"9780773576599"</f>
        <v>9780773576599</v>
      </c>
      <c r="C796" t="s">
        <v>3545</v>
      </c>
      <c r="D796" t="s">
        <v>3543</v>
      </c>
      <c r="E796" t="s">
        <v>3489</v>
      </c>
      <c r="F796" t="s">
        <v>3490</v>
      </c>
      <c r="H796" t="s">
        <v>982</v>
      </c>
      <c r="I796" t="s">
        <v>3544</v>
      </c>
    </row>
    <row r="797" spans="1:9" x14ac:dyDescent="0.35">
      <c r="A797" t="s">
        <v>3546</v>
      </c>
      <c r="B797" t="str">
        <f>"9780773576292"</f>
        <v>9780773576292</v>
      </c>
      <c r="C797" t="s">
        <v>3549</v>
      </c>
      <c r="D797" t="s">
        <v>3547</v>
      </c>
      <c r="E797" t="s">
        <v>3489</v>
      </c>
      <c r="H797" t="s">
        <v>233</v>
      </c>
      <c r="I797" t="s">
        <v>3548</v>
      </c>
    </row>
    <row r="798" spans="1:9" x14ac:dyDescent="0.35">
      <c r="A798" t="s">
        <v>3550</v>
      </c>
      <c r="B798" t="str">
        <f>"9780773576674"</f>
        <v>9780773576674</v>
      </c>
      <c r="C798" t="s">
        <v>3553</v>
      </c>
      <c r="D798" t="s">
        <v>3551</v>
      </c>
      <c r="E798" t="s">
        <v>3483</v>
      </c>
      <c r="H798" t="s">
        <v>233</v>
      </c>
      <c r="I798" t="s">
        <v>3552</v>
      </c>
    </row>
    <row r="799" spans="1:9" x14ac:dyDescent="0.35">
      <c r="A799" t="s">
        <v>3554</v>
      </c>
      <c r="B799" t="str">
        <f>"9780773576742"</f>
        <v>9780773576742</v>
      </c>
      <c r="C799" t="s">
        <v>3556</v>
      </c>
      <c r="D799" t="s">
        <v>856</v>
      </c>
      <c r="E799" t="s">
        <v>3489</v>
      </c>
      <c r="F799" t="s">
        <v>3490</v>
      </c>
      <c r="H799" t="s">
        <v>140</v>
      </c>
      <c r="I799" t="s">
        <v>3555</v>
      </c>
    </row>
    <row r="800" spans="1:9" x14ac:dyDescent="0.35">
      <c r="A800" t="s">
        <v>3557</v>
      </c>
      <c r="B800" t="str">
        <f>"9780773576360"</f>
        <v>9780773576360</v>
      </c>
      <c r="C800" t="s">
        <v>3560</v>
      </c>
      <c r="D800" t="s">
        <v>3558</v>
      </c>
      <c r="E800" t="s">
        <v>3489</v>
      </c>
      <c r="F800" t="s">
        <v>3490</v>
      </c>
      <c r="H800" t="s">
        <v>49</v>
      </c>
      <c r="I800" t="s">
        <v>3559</v>
      </c>
    </row>
    <row r="801" spans="1:9" x14ac:dyDescent="0.35">
      <c r="A801" t="s">
        <v>3561</v>
      </c>
      <c r="B801" t="str">
        <f>"9780773580657"</f>
        <v>9780773580657</v>
      </c>
      <c r="C801" t="s">
        <v>3564</v>
      </c>
      <c r="D801" t="s">
        <v>3562</v>
      </c>
      <c r="E801" t="s">
        <v>3483</v>
      </c>
      <c r="F801" t="s">
        <v>3508</v>
      </c>
      <c r="H801" t="s">
        <v>29</v>
      </c>
      <c r="I801" t="s">
        <v>3563</v>
      </c>
    </row>
    <row r="802" spans="1:9" x14ac:dyDescent="0.35">
      <c r="A802" t="s">
        <v>3565</v>
      </c>
      <c r="B802" t="str">
        <f>"9780773581623"</f>
        <v>9780773581623</v>
      </c>
      <c r="C802" t="s">
        <v>3568</v>
      </c>
      <c r="D802" t="s">
        <v>3566</v>
      </c>
      <c r="E802" t="s">
        <v>3483</v>
      </c>
      <c r="F802" t="s">
        <v>3508</v>
      </c>
      <c r="H802" t="s">
        <v>147</v>
      </c>
      <c r="I802" t="s">
        <v>3567</v>
      </c>
    </row>
    <row r="803" spans="1:9" x14ac:dyDescent="0.35">
      <c r="A803" t="s">
        <v>3569</v>
      </c>
      <c r="B803" t="str">
        <f>"9780773580879"</f>
        <v>9780773580879</v>
      </c>
      <c r="C803" t="s">
        <v>3573</v>
      </c>
      <c r="D803" t="s">
        <v>3570</v>
      </c>
      <c r="E803" t="s">
        <v>3483</v>
      </c>
      <c r="H803" t="s">
        <v>3571</v>
      </c>
      <c r="I803" t="s">
        <v>3572</v>
      </c>
    </row>
    <row r="804" spans="1:9" x14ac:dyDescent="0.35">
      <c r="A804" t="s">
        <v>3574</v>
      </c>
      <c r="B804" t="str">
        <f>"9780773581357"</f>
        <v>9780773581357</v>
      </c>
      <c r="C804" t="s">
        <v>3577</v>
      </c>
      <c r="D804" t="s">
        <v>3575</v>
      </c>
      <c r="E804" t="s">
        <v>3489</v>
      </c>
      <c r="F804" t="s">
        <v>3530</v>
      </c>
      <c r="H804" t="s">
        <v>233</v>
      </c>
      <c r="I804" t="s">
        <v>3576</v>
      </c>
    </row>
    <row r="805" spans="1:9" x14ac:dyDescent="0.35">
      <c r="A805" t="s">
        <v>3578</v>
      </c>
      <c r="B805" t="str">
        <f>"9780773581838"</f>
        <v>9780773581838</v>
      </c>
      <c r="C805" t="s">
        <v>3581</v>
      </c>
      <c r="D805" t="s">
        <v>3579</v>
      </c>
      <c r="E805" t="s">
        <v>3483</v>
      </c>
      <c r="H805" t="s">
        <v>233</v>
      </c>
      <c r="I805" t="s">
        <v>3580</v>
      </c>
    </row>
    <row r="806" spans="1:9" x14ac:dyDescent="0.35">
      <c r="A806" t="s">
        <v>3582</v>
      </c>
      <c r="B806" t="str">
        <f>"9780773587465"</f>
        <v>9780773587465</v>
      </c>
      <c r="C806" t="s">
        <v>3587</v>
      </c>
      <c r="D806" t="s">
        <v>3584</v>
      </c>
      <c r="E806" t="s">
        <v>3489</v>
      </c>
      <c r="F806" t="s">
        <v>3583</v>
      </c>
      <c r="H806" t="s">
        <v>3585</v>
      </c>
      <c r="I806" t="s">
        <v>3586</v>
      </c>
    </row>
    <row r="807" spans="1:9" x14ac:dyDescent="0.35">
      <c r="A807" t="s">
        <v>3588</v>
      </c>
      <c r="B807" t="str">
        <f>"9780773587441"</f>
        <v>9780773587441</v>
      </c>
      <c r="C807" t="s">
        <v>3592</v>
      </c>
      <c r="D807" t="s">
        <v>3590</v>
      </c>
      <c r="E807" t="s">
        <v>3483</v>
      </c>
      <c r="F807" t="s">
        <v>3589</v>
      </c>
      <c r="H807" t="s">
        <v>82</v>
      </c>
      <c r="I807" t="s">
        <v>3591</v>
      </c>
    </row>
    <row r="808" spans="1:9" x14ac:dyDescent="0.35">
      <c r="A808" t="s">
        <v>3593</v>
      </c>
      <c r="B808" t="str">
        <f>"9780773590885"</f>
        <v>9780773590885</v>
      </c>
      <c r="C808" t="s">
        <v>3596</v>
      </c>
      <c r="D808" t="s">
        <v>3594</v>
      </c>
      <c r="E808" t="s">
        <v>3489</v>
      </c>
      <c r="F808" t="s">
        <v>3490</v>
      </c>
      <c r="H808" t="s">
        <v>140</v>
      </c>
      <c r="I808" t="s">
        <v>3595</v>
      </c>
    </row>
    <row r="809" spans="1:9" x14ac:dyDescent="0.35">
      <c r="A809" t="s">
        <v>3597</v>
      </c>
      <c r="B809" t="str">
        <f>"9780773587120"</f>
        <v>9780773587120</v>
      </c>
      <c r="C809" t="s">
        <v>3600</v>
      </c>
      <c r="D809" t="s">
        <v>3598</v>
      </c>
      <c r="E809" t="s">
        <v>3483</v>
      </c>
      <c r="F809" t="s">
        <v>3508</v>
      </c>
      <c r="H809" t="s">
        <v>201</v>
      </c>
      <c r="I809" t="s">
        <v>3599</v>
      </c>
    </row>
    <row r="810" spans="1:9" x14ac:dyDescent="0.35">
      <c r="A810" t="s">
        <v>3601</v>
      </c>
      <c r="B810" t="str">
        <f>"9780773591004"</f>
        <v>9780773591004</v>
      </c>
      <c r="C810" t="s">
        <v>3604</v>
      </c>
      <c r="D810" t="s">
        <v>3602</v>
      </c>
      <c r="E810" t="s">
        <v>3489</v>
      </c>
      <c r="H810" t="s">
        <v>29</v>
      </c>
      <c r="I810" t="s">
        <v>3603</v>
      </c>
    </row>
    <row r="811" spans="1:9" x14ac:dyDescent="0.35">
      <c r="A811" t="s">
        <v>3605</v>
      </c>
      <c r="B811" t="str">
        <f>"9780773587045"</f>
        <v>9780773587045</v>
      </c>
      <c r="C811" t="s">
        <v>3608</v>
      </c>
      <c r="D811" t="s">
        <v>3606</v>
      </c>
      <c r="E811" t="s">
        <v>3483</v>
      </c>
      <c r="F811" t="s">
        <v>3508</v>
      </c>
      <c r="H811" t="s">
        <v>111</v>
      </c>
      <c r="I811" t="s">
        <v>3607</v>
      </c>
    </row>
    <row r="812" spans="1:9" x14ac:dyDescent="0.35">
      <c r="A812" t="s">
        <v>3609</v>
      </c>
      <c r="B812" t="str">
        <f>"9780773588806"</f>
        <v>9780773588806</v>
      </c>
      <c r="C812" t="s">
        <v>3612</v>
      </c>
      <c r="D812" t="s">
        <v>3610</v>
      </c>
      <c r="E812" t="s">
        <v>3483</v>
      </c>
      <c r="H812" t="s">
        <v>55</v>
      </c>
      <c r="I812" t="s">
        <v>3611</v>
      </c>
    </row>
    <row r="813" spans="1:9" x14ac:dyDescent="0.35">
      <c r="A813" t="s">
        <v>3613</v>
      </c>
      <c r="B813" t="str">
        <f>"9780773589933"</f>
        <v>9780773589933</v>
      </c>
      <c r="C813" t="s">
        <v>3616</v>
      </c>
      <c r="D813" t="s">
        <v>3614</v>
      </c>
      <c r="E813" t="s">
        <v>3489</v>
      </c>
      <c r="F813" t="s">
        <v>3490</v>
      </c>
      <c r="H813" t="s">
        <v>111</v>
      </c>
      <c r="I813" t="s">
        <v>3615</v>
      </c>
    </row>
    <row r="814" spans="1:9" x14ac:dyDescent="0.35">
      <c r="A814" t="s">
        <v>3617</v>
      </c>
      <c r="B814" t="str">
        <f>"9780773589896"</f>
        <v>9780773589896</v>
      </c>
      <c r="C814" t="s">
        <v>3621</v>
      </c>
      <c r="D814" t="s">
        <v>3619</v>
      </c>
      <c r="E814" t="s">
        <v>3489</v>
      </c>
      <c r="F814" t="s">
        <v>3618</v>
      </c>
      <c r="H814" t="s">
        <v>29</v>
      </c>
      <c r="I814" t="s">
        <v>3620</v>
      </c>
    </row>
    <row r="815" spans="1:9" x14ac:dyDescent="0.35">
      <c r="A815" t="s">
        <v>3622</v>
      </c>
      <c r="B815" t="str">
        <f>"9780773590328"</f>
        <v>9780773590328</v>
      </c>
      <c r="C815" t="s">
        <v>3625</v>
      </c>
      <c r="D815" t="s">
        <v>3623</v>
      </c>
      <c r="E815" t="s">
        <v>3483</v>
      </c>
      <c r="F815" t="s">
        <v>3508</v>
      </c>
      <c r="H815" t="s">
        <v>82</v>
      </c>
      <c r="I815" t="s">
        <v>3624</v>
      </c>
    </row>
    <row r="816" spans="1:9" x14ac:dyDescent="0.35">
      <c r="A816" t="s">
        <v>3626</v>
      </c>
      <c r="B816" t="str">
        <f>"9780773596108"</f>
        <v>9780773596108</v>
      </c>
      <c r="C816" t="s">
        <v>3629</v>
      </c>
      <c r="D816" t="s">
        <v>3627</v>
      </c>
      <c r="E816" t="s">
        <v>3489</v>
      </c>
      <c r="H816" t="s">
        <v>29</v>
      </c>
      <c r="I816" t="s">
        <v>3628</v>
      </c>
    </row>
    <row r="817" spans="1:9" x14ac:dyDescent="0.35">
      <c r="A817" t="s">
        <v>3630</v>
      </c>
      <c r="B817" t="str">
        <f>"9780773596610"</f>
        <v>9780773596610</v>
      </c>
      <c r="C817" t="s">
        <v>3634</v>
      </c>
      <c r="D817" t="s">
        <v>3631</v>
      </c>
      <c r="E817" t="s">
        <v>3489</v>
      </c>
      <c r="H817" t="s">
        <v>3632</v>
      </c>
      <c r="I817" t="s">
        <v>3633</v>
      </c>
    </row>
    <row r="818" spans="1:9" x14ac:dyDescent="0.35">
      <c r="A818" t="s">
        <v>3635</v>
      </c>
      <c r="B818" t="str">
        <f>"9780773597174"</f>
        <v>9780773597174</v>
      </c>
      <c r="C818" t="s">
        <v>3638</v>
      </c>
      <c r="D818" t="s">
        <v>3636</v>
      </c>
      <c r="E818" t="s">
        <v>3483</v>
      </c>
      <c r="H818" t="s">
        <v>23</v>
      </c>
      <c r="I818" t="s">
        <v>3637</v>
      </c>
    </row>
    <row r="819" spans="1:9" x14ac:dyDescent="0.35">
      <c r="A819" t="s">
        <v>3639</v>
      </c>
      <c r="B819" t="str">
        <f>"9781609172008"</f>
        <v>9781609172008</v>
      </c>
      <c r="C819" t="s">
        <v>3644</v>
      </c>
      <c r="D819" t="s">
        <v>3642</v>
      </c>
      <c r="E819" t="s">
        <v>3640</v>
      </c>
      <c r="F819" t="s">
        <v>3641</v>
      </c>
      <c r="H819" t="s">
        <v>23</v>
      </c>
      <c r="I819" t="s">
        <v>3643</v>
      </c>
    </row>
    <row r="820" spans="1:9" x14ac:dyDescent="0.35">
      <c r="A820" t="s">
        <v>3645</v>
      </c>
      <c r="B820" t="str">
        <f>"9781609172176"</f>
        <v>9781609172176</v>
      </c>
      <c r="C820" t="s">
        <v>3648</v>
      </c>
      <c r="D820" t="s">
        <v>3646</v>
      </c>
      <c r="E820" t="s">
        <v>3640</v>
      </c>
      <c r="F820" t="s">
        <v>3641</v>
      </c>
      <c r="H820" t="s">
        <v>29</v>
      </c>
      <c r="I820" t="s">
        <v>3647</v>
      </c>
    </row>
    <row r="821" spans="1:9" x14ac:dyDescent="0.35">
      <c r="A821" t="s">
        <v>3649</v>
      </c>
      <c r="B821" t="str">
        <f>"9781609172039"</f>
        <v>9781609172039</v>
      </c>
      <c r="C821" t="s">
        <v>3652</v>
      </c>
      <c r="D821" t="s">
        <v>3650</v>
      </c>
      <c r="E821" t="s">
        <v>3640</v>
      </c>
      <c r="H821" t="s">
        <v>29</v>
      </c>
      <c r="I821" t="s">
        <v>3651</v>
      </c>
    </row>
    <row r="822" spans="1:9" x14ac:dyDescent="0.35">
      <c r="A822" t="s">
        <v>3653</v>
      </c>
      <c r="B822" t="str">
        <f>"9781609172312"</f>
        <v>9781609172312</v>
      </c>
      <c r="C822" t="s">
        <v>3656</v>
      </c>
      <c r="D822" t="s">
        <v>3654</v>
      </c>
      <c r="E822" t="s">
        <v>3640</v>
      </c>
      <c r="F822" t="s">
        <v>3641</v>
      </c>
      <c r="H822" t="s">
        <v>430</v>
      </c>
      <c r="I822" t="s">
        <v>3655</v>
      </c>
    </row>
    <row r="823" spans="1:9" x14ac:dyDescent="0.35">
      <c r="A823" t="s">
        <v>3657</v>
      </c>
      <c r="B823" t="str">
        <f>"9781609170042"</f>
        <v>9781609170042</v>
      </c>
      <c r="C823" t="s">
        <v>3660</v>
      </c>
      <c r="D823" t="s">
        <v>3658</v>
      </c>
      <c r="E823" t="s">
        <v>3640</v>
      </c>
      <c r="H823" t="s">
        <v>29</v>
      </c>
      <c r="I823" t="s">
        <v>3659</v>
      </c>
    </row>
    <row r="824" spans="1:9" x14ac:dyDescent="0.35">
      <c r="A824" t="s">
        <v>3661</v>
      </c>
      <c r="B824" t="str">
        <f>"9781609173159"</f>
        <v>9781609173159</v>
      </c>
      <c r="C824" t="s">
        <v>3664</v>
      </c>
      <c r="D824" t="s">
        <v>3662</v>
      </c>
      <c r="E824" t="s">
        <v>3640</v>
      </c>
      <c r="H824" t="s">
        <v>29</v>
      </c>
      <c r="I824" t="s">
        <v>3663</v>
      </c>
    </row>
    <row r="825" spans="1:9" x14ac:dyDescent="0.35">
      <c r="A825" t="s">
        <v>3665</v>
      </c>
      <c r="B825" t="str">
        <f>"9781609173371"</f>
        <v>9781609173371</v>
      </c>
      <c r="C825" t="s">
        <v>3668</v>
      </c>
      <c r="D825" t="s">
        <v>3666</v>
      </c>
      <c r="E825" t="s">
        <v>3640</v>
      </c>
      <c r="H825" t="s">
        <v>29</v>
      </c>
      <c r="I825" t="s">
        <v>3667</v>
      </c>
    </row>
    <row r="826" spans="1:9" x14ac:dyDescent="0.35">
      <c r="A826" t="s">
        <v>3669</v>
      </c>
      <c r="B826" t="str">
        <f>"9781609173418"</f>
        <v>9781609173418</v>
      </c>
      <c r="C826" t="s">
        <v>3672</v>
      </c>
      <c r="D826" t="s">
        <v>3670</v>
      </c>
      <c r="E826" t="s">
        <v>3640</v>
      </c>
      <c r="H826" t="s">
        <v>29</v>
      </c>
      <c r="I826" t="s">
        <v>3671</v>
      </c>
    </row>
    <row r="827" spans="1:9" x14ac:dyDescent="0.35">
      <c r="A827" t="s">
        <v>3673</v>
      </c>
      <c r="B827" t="str">
        <f>"9781609173500"</f>
        <v>9781609173500</v>
      </c>
      <c r="C827" t="s">
        <v>3676</v>
      </c>
      <c r="D827" t="s">
        <v>3674</v>
      </c>
      <c r="E827" t="s">
        <v>3640</v>
      </c>
      <c r="H827" t="s">
        <v>29</v>
      </c>
      <c r="I827" t="s">
        <v>3675</v>
      </c>
    </row>
    <row r="828" spans="1:9" x14ac:dyDescent="0.35">
      <c r="A828" t="s">
        <v>3677</v>
      </c>
      <c r="B828" t="str">
        <f>"9781609173487"</f>
        <v>9781609173487</v>
      </c>
      <c r="C828" t="s">
        <v>3681</v>
      </c>
      <c r="D828" t="s">
        <v>3679</v>
      </c>
      <c r="E828" t="s">
        <v>3640</v>
      </c>
      <c r="F828" t="s">
        <v>3678</v>
      </c>
      <c r="H828" t="s">
        <v>29</v>
      </c>
      <c r="I828" t="s">
        <v>3680</v>
      </c>
    </row>
    <row r="829" spans="1:9" x14ac:dyDescent="0.35">
      <c r="A829" t="s">
        <v>3682</v>
      </c>
      <c r="B829" t="str">
        <f>"9781609173531"</f>
        <v>9781609173531</v>
      </c>
      <c r="C829" t="s">
        <v>3685</v>
      </c>
      <c r="D829" t="s">
        <v>3683</v>
      </c>
      <c r="E829" t="s">
        <v>3640</v>
      </c>
      <c r="F829" t="s">
        <v>3641</v>
      </c>
      <c r="H829" t="s">
        <v>23</v>
      </c>
      <c r="I829" t="s">
        <v>3684</v>
      </c>
    </row>
    <row r="830" spans="1:9" x14ac:dyDescent="0.35">
      <c r="A830" t="s">
        <v>3686</v>
      </c>
      <c r="B830" t="str">
        <f>"9781609173609"</f>
        <v>9781609173609</v>
      </c>
      <c r="C830" t="s">
        <v>3689</v>
      </c>
      <c r="D830" t="s">
        <v>3687</v>
      </c>
      <c r="E830" t="s">
        <v>3640</v>
      </c>
      <c r="H830" t="s">
        <v>29</v>
      </c>
      <c r="I830" t="s">
        <v>3688</v>
      </c>
    </row>
    <row r="831" spans="1:9" x14ac:dyDescent="0.35">
      <c r="A831" t="s">
        <v>3690</v>
      </c>
      <c r="B831" t="str">
        <f>"9781609173685"</f>
        <v>9781609173685</v>
      </c>
      <c r="C831" t="s">
        <v>3693</v>
      </c>
      <c r="D831" t="s">
        <v>3691</v>
      </c>
      <c r="E831" t="s">
        <v>3640</v>
      </c>
      <c r="F831" t="s">
        <v>3641</v>
      </c>
      <c r="H831" t="s">
        <v>201</v>
      </c>
      <c r="I831" t="s">
        <v>3692</v>
      </c>
    </row>
    <row r="832" spans="1:9" x14ac:dyDescent="0.35">
      <c r="A832" t="s">
        <v>3694</v>
      </c>
      <c r="B832" t="str">
        <f>"9781609173777"</f>
        <v>9781609173777</v>
      </c>
      <c r="C832" t="s">
        <v>3698</v>
      </c>
      <c r="D832" t="s">
        <v>3696</v>
      </c>
      <c r="E832" t="s">
        <v>3640</v>
      </c>
      <c r="F832" t="s">
        <v>3695</v>
      </c>
      <c r="H832" t="s">
        <v>29</v>
      </c>
      <c r="I832" t="s">
        <v>3697</v>
      </c>
    </row>
    <row r="833" spans="1:9" x14ac:dyDescent="0.35">
      <c r="A833" t="s">
        <v>3699</v>
      </c>
      <c r="B833" t="str">
        <f>"9781609174200"</f>
        <v>9781609174200</v>
      </c>
      <c r="C833" t="s">
        <v>3702</v>
      </c>
      <c r="D833" t="s">
        <v>3700</v>
      </c>
      <c r="E833" t="s">
        <v>3640</v>
      </c>
      <c r="F833" t="s">
        <v>3641</v>
      </c>
      <c r="H833" t="s">
        <v>233</v>
      </c>
      <c r="I833" t="s">
        <v>3701</v>
      </c>
    </row>
    <row r="834" spans="1:9" x14ac:dyDescent="0.35">
      <c r="A834" t="s">
        <v>3703</v>
      </c>
      <c r="B834" t="str">
        <f>"9781609173968"</f>
        <v>9781609173968</v>
      </c>
      <c r="C834" t="s">
        <v>3706</v>
      </c>
      <c r="D834" t="s">
        <v>3704</v>
      </c>
      <c r="E834" t="s">
        <v>3640</v>
      </c>
      <c r="F834" t="s">
        <v>3641</v>
      </c>
      <c r="H834" t="s">
        <v>147</v>
      </c>
      <c r="I834" t="s">
        <v>3705</v>
      </c>
    </row>
    <row r="835" spans="1:9" x14ac:dyDescent="0.35">
      <c r="A835" t="s">
        <v>3707</v>
      </c>
      <c r="B835" t="str">
        <f>"9781609174323"</f>
        <v>9781609174323</v>
      </c>
      <c r="C835" t="s">
        <v>3710</v>
      </c>
      <c r="D835" t="s">
        <v>3708</v>
      </c>
      <c r="E835" t="s">
        <v>3640</v>
      </c>
      <c r="F835" t="s">
        <v>3641</v>
      </c>
      <c r="H835" t="s">
        <v>29</v>
      </c>
      <c r="I835" t="s">
        <v>3709</v>
      </c>
    </row>
    <row r="836" spans="1:9" x14ac:dyDescent="0.35">
      <c r="A836" t="s">
        <v>3711</v>
      </c>
      <c r="B836" t="str">
        <f>"9781609174361"</f>
        <v>9781609174361</v>
      </c>
      <c r="C836" t="s">
        <v>3714</v>
      </c>
      <c r="D836" t="s">
        <v>3712</v>
      </c>
      <c r="E836" t="s">
        <v>3640</v>
      </c>
      <c r="F836" t="s">
        <v>3641</v>
      </c>
      <c r="H836" t="s">
        <v>216</v>
      </c>
      <c r="I836" t="s">
        <v>3713</v>
      </c>
    </row>
    <row r="837" spans="1:9" x14ac:dyDescent="0.35">
      <c r="A837" t="s">
        <v>3715</v>
      </c>
      <c r="B837" t="str">
        <f>"9780262298537"</f>
        <v>9780262298537</v>
      </c>
      <c r="C837" t="s">
        <v>3721</v>
      </c>
      <c r="D837" t="s">
        <v>3718</v>
      </c>
      <c r="E837" t="s">
        <v>3716</v>
      </c>
      <c r="F837" t="s">
        <v>3717</v>
      </c>
      <c r="H837" t="s">
        <v>3719</v>
      </c>
      <c r="I837" t="s">
        <v>3720</v>
      </c>
    </row>
    <row r="838" spans="1:9" x14ac:dyDescent="0.35">
      <c r="A838" t="s">
        <v>3722</v>
      </c>
      <c r="B838" t="str">
        <f>"9780262319430"</f>
        <v>9780262319430</v>
      </c>
      <c r="C838" t="s">
        <v>3726</v>
      </c>
      <c r="D838" t="s">
        <v>3724</v>
      </c>
      <c r="E838" t="s">
        <v>3716</v>
      </c>
      <c r="F838" t="s">
        <v>3723</v>
      </c>
      <c r="H838" t="s">
        <v>82</v>
      </c>
      <c r="I838" t="s">
        <v>3725</v>
      </c>
    </row>
    <row r="839" spans="1:9" x14ac:dyDescent="0.35">
      <c r="A839" t="s">
        <v>3727</v>
      </c>
      <c r="B839" t="str">
        <f>"9780262322492"</f>
        <v>9780262322492</v>
      </c>
      <c r="C839" t="s">
        <v>3731</v>
      </c>
      <c r="D839" t="s">
        <v>3729</v>
      </c>
      <c r="E839" t="s">
        <v>3716</v>
      </c>
      <c r="F839" t="s">
        <v>3728</v>
      </c>
      <c r="H839" t="s">
        <v>111</v>
      </c>
      <c r="I839" t="s">
        <v>3730</v>
      </c>
    </row>
    <row r="840" spans="1:9" x14ac:dyDescent="0.35">
      <c r="A840" t="s">
        <v>3732</v>
      </c>
      <c r="B840" t="str">
        <f>"9780309292573"</f>
        <v>9780309292573</v>
      </c>
      <c r="C840" t="s">
        <v>3736</v>
      </c>
      <c r="D840" t="s">
        <v>3734</v>
      </c>
      <c r="E840" t="s">
        <v>3733</v>
      </c>
      <c r="H840" t="s">
        <v>2603</v>
      </c>
      <c r="I840" t="s">
        <v>3735</v>
      </c>
    </row>
    <row r="841" spans="1:9" x14ac:dyDescent="0.35">
      <c r="A841" t="s">
        <v>3737</v>
      </c>
      <c r="B841" t="str">
        <f>"9780870717215"</f>
        <v>9780870717215</v>
      </c>
      <c r="C841" t="s">
        <v>3741</v>
      </c>
      <c r="D841" t="s">
        <v>3739</v>
      </c>
      <c r="E841" t="s">
        <v>3738</v>
      </c>
      <c r="H841" t="s">
        <v>233</v>
      </c>
      <c r="I841" t="s">
        <v>3740</v>
      </c>
    </row>
    <row r="842" spans="1:9" x14ac:dyDescent="0.35">
      <c r="A842" t="s">
        <v>3742</v>
      </c>
      <c r="B842" t="str">
        <f>"9780870717239"</f>
        <v>9780870717239</v>
      </c>
      <c r="C842" t="s">
        <v>3746</v>
      </c>
      <c r="D842" t="s">
        <v>3743</v>
      </c>
      <c r="E842" t="s">
        <v>3738</v>
      </c>
      <c r="H842" t="s">
        <v>3744</v>
      </c>
      <c r="I842" t="s">
        <v>3745</v>
      </c>
    </row>
    <row r="843" spans="1:9" x14ac:dyDescent="0.35">
      <c r="A843" t="s">
        <v>3747</v>
      </c>
      <c r="B843" t="str">
        <f>"9788763099400"</f>
        <v>9788763099400</v>
      </c>
      <c r="C843" t="s">
        <v>3751</v>
      </c>
      <c r="D843" t="s">
        <v>3749</v>
      </c>
      <c r="E843" t="s">
        <v>3748</v>
      </c>
      <c r="H843" t="s">
        <v>55</v>
      </c>
      <c r="I843" t="s">
        <v>3750</v>
      </c>
    </row>
    <row r="844" spans="1:9" x14ac:dyDescent="0.35">
      <c r="A844" t="s">
        <v>3752</v>
      </c>
      <c r="B844" t="str">
        <f>"9781438441764"</f>
        <v>9781438441764</v>
      </c>
      <c r="C844" t="s">
        <v>3757</v>
      </c>
      <c r="D844" t="s">
        <v>3755</v>
      </c>
      <c r="E844" t="s">
        <v>3753</v>
      </c>
      <c r="F844" t="s">
        <v>3754</v>
      </c>
      <c r="H844" t="s">
        <v>140</v>
      </c>
      <c r="I844" t="s">
        <v>3756</v>
      </c>
    </row>
    <row r="845" spans="1:9" x14ac:dyDescent="0.35">
      <c r="A845" t="s">
        <v>3758</v>
      </c>
      <c r="B845" t="str">
        <f>"9781438439808"</f>
        <v>9781438439808</v>
      </c>
      <c r="C845" t="s">
        <v>3762</v>
      </c>
      <c r="D845" t="s">
        <v>3760</v>
      </c>
      <c r="E845" t="s">
        <v>3753</v>
      </c>
      <c r="F845" t="s">
        <v>3759</v>
      </c>
      <c r="H845" t="s">
        <v>23</v>
      </c>
      <c r="I845" t="s">
        <v>3761</v>
      </c>
    </row>
    <row r="846" spans="1:9" x14ac:dyDescent="0.35">
      <c r="A846" t="s">
        <v>3763</v>
      </c>
      <c r="B846" t="str">
        <f>"9781438442044"</f>
        <v>9781438442044</v>
      </c>
      <c r="C846" t="s">
        <v>3767</v>
      </c>
      <c r="D846" t="s">
        <v>3765</v>
      </c>
      <c r="E846" t="s">
        <v>3753</v>
      </c>
      <c r="F846" t="s">
        <v>3764</v>
      </c>
      <c r="H846" t="s">
        <v>29</v>
      </c>
      <c r="I846" t="s">
        <v>3766</v>
      </c>
    </row>
    <row r="847" spans="1:9" x14ac:dyDescent="0.35">
      <c r="A847" t="s">
        <v>3768</v>
      </c>
      <c r="B847" t="str">
        <f>"9781438438047"</f>
        <v>9781438438047</v>
      </c>
      <c r="C847" t="s">
        <v>3771</v>
      </c>
      <c r="D847" t="s">
        <v>3769</v>
      </c>
      <c r="E847" t="s">
        <v>3753</v>
      </c>
      <c r="H847" t="s">
        <v>23</v>
      </c>
      <c r="I847" t="s">
        <v>3770</v>
      </c>
    </row>
    <row r="848" spans="1:9" x14ac:dyDescent="0.35">
      <c r="A848" t="s">
        <v>3772</v>
      </c>
      <c r="B848" t="str">
        <f>"9781438431697"</f>
        <v>9781438431697</v>
      </c>
      <c r="C848" t="s">
        <v>3774</v>
      </c>
      <c r="D848" t="s">
        <v>1182</v>
      </c>
      <c r="E848" t="s">
        <v>3753</v>
      </c>
      <c r="F848" t="s">
        <v>3759</v>
      </c>
      <c r="H848" t="s">
        <v>23</v>
      </c>
      <c r="I848" t="s">
        <v>3773</v>
      </c>
    </row>
    <row r="849" spans="1:9" x14ac:dyDescent="0.35">
      <c r="A849" t="s">
        <v>3775</v>
      </c>
      <c r="B849" t="str">
        <f>"9781438435794"</f>
        <v>9781438435794</v>
      </c>
      <c r="C849" t="s">
        <v>3779</v>
      </c>
      <c r="D849" t="s">
        <v>3777</v>
      </c>
      <c r="E849" t="s">
        <v>3753</v>
      </c>
      <c r="F849" t="s">
        <v>3776</v>
      </c>
      <c r="H849" t="s">
        <v>29</v>
      </c>
      <c r="I849" t="s">
        <v>3778</v>
      </c>
    </row>
    <row r="850" spans="1:9" x14ac:dyDescent="0.35">
      <c r="A850" t="s">
        <v>3780</v>
      </c>
      <c r="B850" t="str">
        <f>"9781438433370"</f>
        <v>9781438433370</v>
      </c>
      <c r="C850" t="s">
        <v>3784</v>
      </c>
      <c r="D850" t="s">
        <v>3782</v>
      </c>
      <c r="E850" t="s">
        <v>3753</v>
      </c>
      <c r="F850" t="s">
        <v>3781</v>
      </c>
      <c r="H850" t="s">
        <v>147</v>
      </c>
      <c r="I850" t="s">
        <v>3783</v>
      </c>
    </row>
    <row r="851" spans="1:9" x14ac:dyDescent="0.35">
      <c r="A851" t="s">
        <v>3785</v>
      </c>
      <c r="B851" t="str">
        <f>"9781438434360"</f>
        <v>9781438434360</v>
      </c>
      <c r="C851" t="s">
        <v>3788</v>
      </c>
      <c r="D851" t="s">
        <v>3786</v>
      </c>
      <c r="E851" t="s">
        <v>3753</v>
      </c>
      <c r="H851" t="s">
        <v>29</v>
      </c>
      <c r="I851" t="s">
        <v>3787</v>
      </c>
    </row>
    <row r="852" spans="1:9" x14ac:dyDescent="0.35">
      <c r="A852" t="s">
        <v>3789</v>
      </c>
      <c r="B852" t="str">
        <f>"9781438436791"</f>
        <v>9781438436791</v>
      </c>
      <c r="C852" t="s">
        <v>3792</v>
      </c>
      <c r="D852" t="s">
        <v>3790</v>
      </c>
      <c r="E852" t="s">
        <v>3753</v>
      </c>
      <c r="H852" t="s">
        <v>82</v>
      </c>
      <c r="I852" t="s">
        <v>3791</v>
      </c>
    </row>
    <row r="853" spans="1:9" x14ac:dyDescent="0.35">
      <c r="A853" t="s">
        <v>3793</v>
      </c>
      <c r="B853" t="str">
        <f>"9781438432557"</f>
        <v>9781438432557</v>
      </c>
      <c r="C853" t="s">
        <v>3796</v>
      </c>
      <c r="D853" t="s">
        <v>3794</v>
      </c>
      <c r="E853" t="s">
        <v>3753</v>
      </c>
      <c r="H853" t="s">
        <v>29</v>
      </c>
      <c r="I853" t="s">
        <v>3795</v>
      </c>
    </row>
    <row r="854" spans="1:9" x14ac:dyDescent="0.35">
      <c r="A854" t="s">
        <v>3797</v>
      </c>
      <c r="B854" t="str">
        <f>"9781438433400"</f>
        <v>9781438433400</v>
      </c>
      <c r="C854" t="s">
        <v>3800</v>
      </c>
      <c r="D854" t="s">
        <v>3798</v>
      </c>
      <c r="E854" t="s">
        <v>3753</v>
      </c>
      <c r="F854" t="s">
        <v>3781</v>
      </c>
      <c r="H854" t="s">
        <v>147</v>
      </c>
      <c r="I854" t="s">
        <v>3799</v>
      </c>
    </row>
    <row r="855" spans="1:9" x14ac:dyDescent="0.35">
      <c r="A855" t="s">
        <v>3801</v>
      </c>
      <c r="B855" t="str">
        <f>"9781438435275"</f>
        <v>9781438435275</v>
      </c>
      <c r="C855" t="s">
        <v>3804</v>
      </c>
      <c r="D855" t="s">
        <v>3802</v>
      </c>
      <c r="E855" t="s">
        <v>3753</v>
      </c>
      <c r="F855" t="s">
        <v>3781</v>
      </c>
      <c r="H855" t="s">
        <v>29</v>
      </c>
      <c r="I855" t="s">
        <v>3803</v>
      </c>
    </row>
    <row r="856" spans="1:9" x14ac:dyDescent="0.35">
      <c r="A856" t="s">
        <v>3805</v>
      </c>
      <c r="B856" t="str">
        <f>"9781438431345"</f>
        <v>9781438431345</v>
      </c>
      <c r="C856" t="s">
        <v>3809</v>
      </c>
      <c r="D856" t="s">
        <v>3807</v>
      </c>
      <c r="E856" t="s">
        <v>3753</v>
      </c>
      <c r="F856" t="s">
        <v>3806</v>
      </c>
      <c r="H856" t="s">
        <v>29</v>
      </c>
      <c r="I856" t="s">
        <v>3808</v>
      </c>
    </row>
    <row r="857" spans="1:9" x14ac:dyDescent="0.35">
      <c r="A857" t="s">
        <v>3810</v>
      </c>
      <c r="B857" t="str">
        <f>"9781438438337"</f>
        <v>9781438438337</v>
      </c>
      <c r="C857" t="s">
        <v>3813</v>
      </c>
      <c r="D857" t="s">
        <v>3811</v>
      </c>
      <c r="E857" t="s">
        <v>3753</v>
      </c>
      <c r="H857" t="s">
        <v>29</v>
      </c>
      <c r="I857" t="s">
        <v>3812</v>
      </c>
    </row>
    <row r="858" spans="1:9" x14ac:dyDescent="0.35">
      <c r="A858" t="s">
        <v>3814</v>
      </c>
      <c r="B858" t="str">
        <f>"9780791480571"</f>
        <v>9780791480571</v>
      </c>
      <c r="C858" t="s">
        <v>3817</v>
      </c>
      <c r="D858" t="s">
        <v>3815</v>
      </c>
      <c r="E858" t="s">
        <v>3753</v>
      </c>
      <c r="H858" t="s">
        <v>23</v>
      </c>
      <c r="I858" t="s">
        <v>3816</v>
      </c>
    </row>
    <row r="859" spans="1:9" x14ac:dyDescent="0.35">
      <c r="A859" t="s">
        <v>3818</v>
      </c>
      <c r="B859" t="str">
        <f>"9781438427003"</f>
        <v>9781438427003</v>
      </c>
      <c r="C859" t="s">
        <v>3821</v>
      </c>
      <c r="D859" t="s">
        <v>3819</v>
      </c>
      <c r="E859" t="s">
        <v>3753</v>
      </c>
      <c r="H859" t="s">
        <v>29</v>
      </c>
      <c r="I859" t="s">
        <v>3820</v>
      </c>
    </row>
    <row r="860" spans="1:9" x14ac:dyDescent="0.35">
      <c r="A860" t="s">
        <v>3822</v>
      </c>
      <c r="B860" t="str">
        <f>"9780791485019"</f>
        <v>9780791485019</v>
      </c>
      <c r="C860" t="s">
        <v>3825</v>
      </c>
      <c r="D860" t="s">
        <v>3823</v>
      </c>
      <c r="E860" t="s">
        <v>3753</v>
      </c>
      <c r="H860" t="s">
        <v>29</v>
      </c>
      <c r="I860" t="s">
        <v>3824</v>
      </c>
    </row>
    <row r="861" spans="1:9" x14ac:dyDescent="0.35">
      <c r="A861" t="s">
        <v>3826</v>
      </c>
      <c r="B861" t="str">
        <f>"9781438444253"</f>
        <v>9781438444253</v>
      </c>
      <c r="C861" t="s">
        <v>3829</v>
      </c>
      <c r="D861" t="s">
        <v>3827</v>
      </c>
      <c r="E861" t="s">
        <v>3753</v>
      </c>
      <c r="F861" t="s">
        <v>3764</v>
      </c>
      <c r="H861" t="s">
        <v>293</v>
      </c>
      <c r="I861" t="s">
        <v>3828</v>
      </c>
    </row>
    <row r="862" spans="1:9" x14ac:dyDescent="0.35">
      <c r="A862" t="s">
        <v>3830</v>
      </c>
      <c r="B862" t="str">
        <f>"9781438443362"</f>
        <v>9781438443362</v>
      </c>
      <c r="C862" t="s">
        <v>3833</v>
      </c>
      <c r="D862" t="s">
        <v>3831</v>
      </c>
      <c r="E862" t="s">
        <v>3753</v>
      </c>
      <c r="H862" t="s">
        <v>29</v>
      </c>
      <c r="I862" t="s">
        <v>3832</v>
      </c>
    </row>
    <row r="863" spans="1:9" x14ac:dyDescent="0.35">
      <c r="A863" t="s">
        <v>3834</v>
      </c>
      <c r="B863" t="str">
        <f>"9781438444314"</f>
        <v>9781438444314</v>
      </c>
      <c r="C863" t="s">
        <v>3837</v>
      </c>
      <c r="D863" t="s">
        <v>3835</v>
      </c>
      <c r="E863" t="s">
        <v>3753</v>
      </c>
      <c r="F863" t="s">
        <v>3764</v>
      </c>
      <c r="H863" t="s">
        <v>265</v>
      </c>
      <c r="I863" t="s">
        <v>3836</v>
      </c>
    </row>
    <row r="864" spans="1:9" x14ac:dyDescent="0.35">
      <c r="A864" t="s">
        <v>3838</v>
      </c>
      <c r="B864" t="str">
        <f>"9781438446622"</f>
        <v>9781438446622</v>
      </c>
      <c r="C864" t="s">
        <v>3841</v>
      </c>
      <c r="D864" t="s">
        <v>3839</v>
      </c>
      <c r="E864" t="s">
        <v>3753</v>
      </c>
      <c r="F864" t="s">
        <v>3759</v>
      </c>
      <c r="H864" t="s">
        <v>23</v>
      </c>
      <c r="I864" t="s">
        <v>3840</v>
      </c>
    </row>
    <row r="865" spans="1:9" x14ac:dyDescent="0.35">
      <c r="A865" t="s">
        <v>3842</v>
      </c>
      <c r="B865" t="str">
        <f>"9781438443997"</f>
        <v>9781438443997</v>
      </c>
      <c r="C865" t="s">
        <v>3845</v>
      </c>
      <c r="D865" t="s">
        <v>1699</v>
      </c>
      <c r="E865" t="s">
        <v>3753</v>
      </c>
      <c r="F865" t="s">
        <v>3843</v>
      </c>
      <c r="H865" t="s">
        <v>201</v>
      </c>
      <c r="I865" t="s">
        <v>3844</v>
      </c>
    </row>
    <row r="866" spans="1:9" x14ac:dyDescent="0.35">
      <c r="A866" t="s">
        <v>3846</v>
      </c>
      <c r="B866" t="str">
        <f>"9781438446318"</f>
        <v>9781438446318</v>
      </c>
      <c r="C866" t="s">
        <v>3849</v>
      </c>
      <c r="D866" t="s">
        <v>3847</v>
      </c>
      <c r="E866" t="s">
        <v>3753</v>
      </c>
      <c r="F866" t="s">
        <v>3764</v>
      </c>
      <c r="H866" t="s">
        <v>140</v>
      </c>
      <c r="I866" t="s">
        <v>3848</v>
      </c>
    </row>
    <row r="867" spans="1:9" x14ac:dyDescent="0.35">
      <c r="A867" t="s">
        <v>3850</v>
      </c>
      <c r="B867" t="str">
        <f>"9781438448220"</f>
        <v>9781438448220</v>
      </c>
      <c r="C867" t="s">
        <v>3853</v>
      </c>
      <c r="D867" t="s">
        <v>3851</v>
      </c>
      <c r="E867" t="s">
        <v>3753</v>
      </c>
      <c r="H867" t="s">
        <v>298</v>
      </c>
      <c r="I867" t="s">
        <v>3852</v>
      </c>
    </row>
    <row r="868" spans="1:9" x14ac:dyDescent="0.35">
      <c r="A868" t="s">
        <v>3854</v>
      </c>
      <c r="B868" t="str">
        <f>"9781438453439"</f>
        <v>9781438453439</v>
      </c>
      <c r="C868" t="s">
        <v>3857</v>
      </c>
      <c r="D868" t="s">
        <v>3855</v>
      </c>
      <c r="E868" t="s">
        <v>3753</v>
      </c>
      <c r="F868" t="s">
        <v>3764</v>
      </c>
      <c r="H868" t="s">
        <v>29</v>
      </c>
      <c r="I868" t="s">
        <v>3856</v>
      </c>
    </row>
    <row r="869" spans="1:9" x14ac:dyDescent="0.35">
      <c r="A869" t="s">
        <v>3858</v>
      </c>
      <c r="B869" t="str">
        <f>"9781438453637"</f>
        <v>9781438453637</v>
      </c>
      <c r="C869" t="s">
        <v>3861</v>
      </c>
      <c r="D869" t="s">
        <v>3859</v>
      </c>
      <c r="E869" t="s">
        <v>3753</v>
      </c>
      <c r="H869" t="s">
        <v>23</v>
      </c>
      <c r="I869" t="s">
        <v>3860</v>
      </c>
    </row>
    <row r="870" spans="1:9" x14ac:dyDescent="0.35">
      <c r="A870" t="s">
        <v>3862</v>
      </c>
      <c r="B870" t="str">
        <f>"9780815651376"</f>
        <v>9780815651376</v>
      </c>
      <c r="C870" t="s">
        <v>3867</v>
      </c>
      <c r="D870" t="s">
        <v>3865</v>
      </c>
      <c r="E870" t="s">
        <v>3863</v>
      </c>
      <c r="F870" t="s">
        <v>3864</v>
      </c>
      <c r="H870" t="s">
        <v>265</v>
      </c>
      <c r="I870" t="s">
        <v>3866</v>
      </c>
    </row>
    <row r="871" spans="1:9" x14ac:dyDescent="0.35">
      <c r="A871" t="s">
        <v>3868</v>
      </c>
      <c r="B871" t="str">
        <f>"9781935503842"</f>
        <v>9781935503842</v>
      </c>
      <c r="C871" t="s">
        <v>3873</v>
      </c>
      <c r="D871" t="s">
        <v>3871</v>
      </c>
      <c r="E871" t="s">
        <v>3869</v>
      </c>
      <c r="F871" t="s">
        <v>3870</v>
      </c>
      <c r="H871" t="s">
        <v>140</v>
      </c>
      <c r="I871" t="s">
        <v>3872</v>
      </c>
    </row>
    <row r="872" spans="1:9" x14ac:dyDescent="0.35">
      <c r="A872" t="s">
        <v>3874</v>
      </c>
      <c r="B872" t="str">
        <f>"9780816504480"</f>
        <v>9780816504480</v>
      </c>
      <c r="C872" t="s">
        <v>3879</v>
      </c>
      <c r="D872" t="s">
        <v>3876</v>
      </c>
      <c r="E872" t="s">
        <v>3875</v>
      </c>
      <c r="F872" t="s">
        <v>939</v>
      </c>
      <c r="H872" t="s">
        <v>3877</v>
      </c>
      <c r="I872" t="s">
        <v>3878</v>
      </c>
    </row>
    <row r="873" spans="1:9" x14ac:dyDescent="0.35">
      <c r="A873" t="s">
        <v>3880</v>
      </c>
      <c r="B873" t="str">
        <f>"9780816502271"</f>
        <v>9780816502271</v>
      </c>
      <c r="C873" t="s">
        <v>3884</v>
      </c>
      <c r="D873" t="s">
        <v>3881</v>
      </c>
      <c r="E873" t="s">
        <v>3875</v>
      </c>
      <c r="H873" t="s">
        <v>3882</v>
      </c>
      <c r="I873" t="s">
        <v>3883</v>
      </c>
    </row>
    <row r="874" spans="1:9" x14ac:dyDescent="0.35">
      <c r="A874" t="s">
        <v>3885</v>
      </c>
      <c r="B874" t="str">
        <f>"9780816501267"</f>
        <v>9780816501267</v>
      </c>
      <c r="C874" t="s">
        <v>3889</v>
      </c>
      <c r="D874" t="s">
        <v>3886</v>
      </c>
      <c r="E874" t="s">
        <v>3875</v>
      </c>
      <c r="H874" t="s">
        <v>3887</v>
      </c>
      <c r="I874" t="s">
        <v>3888</v>
      </c>
    </row>
    <row r="875" spans="1:9" x14ac:dyDescent="0.35">
      <c r="A875" t="s">
        <v>3890</v>
      </c>
      <c r="B875" t="str">
        <f>"9780816501113"</f>
        <v>9780816501113</v>
      </c>
      <c r="C875" t="s">
        <v>3893</v>
      </c>
      <c r="D875" t="s">
        <v>3891</v>
      </c>
      <c r="E875" t="s">
        <v>3875</v>
      </c>
      <c r="F875" t="s">
        <v>939</v>
      </c>
      <c r="H875" t="s">
        <v>29</v>
      </c>
      <c r="I875" t="s">
        <v>3892</v>
      </c>
    </row>
    <row r="876" spans="1:9" x14ac:dyDescent="0.35">
      <c r="A876" t="s">
        <v>3894</v>
      </c>
      <c r="B876" t="str">
        <f>"9780816502295"</f>
        <v>9780816502295</v>
      </c>
      <c r="C876" t="s">
        <v>3897</v>
      </c>
      <c r="D876" t="s">
        <v>3895</v>
      </c>
      <c r="E876" t="s">
        <v>3875</v>
      </c>
      <c r="F876" t="s">
        <v>939</v>
      </c>
      <c r="H876" t="s">
        <v>77</v>
      </c>
      <c r="I876" t="s">
        <v>3896</v>
      </c>
    </row>
    <row r="877" spans="1:9" x14ac:dyDescent="0.35">
      <c r="A877" t="s">
        <v>3898</v>
      </c>
      <c r="B877" t="str">
        <f>"9780816501137"</f>
        <v>9780816501137</v>
      </c>
      <c r="C877" t="s">
        <v>3901</v>
      </c>
      <c r="D877" t="s">
        <v>3899</v>
      </c>
      <c r="E877" t="s">
        <v>3875</v>
      </c>
      <c r="H877" t="s">
        <v>265</v>
      </c>
      <c r="I877" t="s">
        <v>3900</v>
      </c>
    </row>
    <row r="878" spans="1:9" x14ac:dyDescent="0.35">
      <c r="A878" t="s">
        <v>3902</v>
      </c>
      <c r="B878" t="str">
        <f>"9780816502219"</f>
        <v>9780816502219</v>
      </c>
      <c r="C878" t="s">
        <v>3905</v>
      </c>
      <c r="D878" t="s">
        <v>3903</v>
      </c>
      <c r="E878" t="s">
        <v>3875</v>
      </c>
      <c r="H878" t="s">
        <v>147</v>
      </c>
      <c r="I878" t="s">
        <v>3904</v>
      </c>
    </row>
    <row r="879" spans="1:9" x14ac:dyDescent="0.35">
      <c r="A879" t="s">
        <v>3906</v>
      </c>
      <c r="B879" t="str">
        <f>"9780816502288"</f>
        <v>9780816502288</v>
      </c>
      <c r="C879" t="s">
        <v>3910</v>
      </c>
      <c r="D879" t="s">
        <v>3908</v>
      </c>
      <c r="E879" t="s">
        <v>3875</v>
      </c>
      <c r="F879" t="s">
        <v>3907</v>
      </c>
      <c r="H879" t="s">
        <v>82</v>
      </c>
      <c r="I879" t="s">
        <v>3909</v>
      </c>
    </row>
    <row r="880" spans="1:9" x14ac:dyDescent="0.35">
      <c r="A880" t="s">
        <v>3911</v>
      </c>
      <c r="B880" t="str">
        <f>"9780816501069"</f>
        <v>9780816501069</v>
      </c>
      <c r="C880" t="s">
        <v>3914</v>
      </c>
      <c r="D880" t="s">
        <v>3912</v>
      </c>
      <c r="E880" t="s">
        <v>3875</v>
      </c>
      <c r="H880" t="s">
        <v>29</v>
      </c>
      <c r="I880" t="s">
        <v>3913</v>
      </c>
    </row>
    <row r="881" spans="1:9" x14ac:dyDescent="0.35">
      <c r="A881" t="s">
        <v>3915</v>
      </c>
      <c r="B881" t="str">
        <f>"9780816501793"</f>
        <v>9780816501793</v>
      </c>
      <c r="C881" t="s">
        <v>3918</v>
      </c>
      <c r="D881" t="s">
        <v>3916</v>
      </c>
      <c r="E881" t="s">
        <v>3875</v>
      </c>
      <c r="F881" t="s">
        <v>939</v>
      </c>
      <c r="H881" t="s">
        <v>147</v>
      </c>
      <c r="I881" t="s">
        <v>3917</v>
      </c>
    </row>
    <row r="882" spans="1:9" x14ac:dyDescent="0.35">
      <c r="A882" t="s">
        <v>3919</v>
      </c>
      <c r="B882" t="str">
        <f>"9780816503339"</f>
        <v>9780816503339</v>
      </c>
      <c r="C882" t="s">
        <v>3922</v>
      </c>
      <c r="D882" t="s">
        <v>3920</v>
      </c>
      <c r="E882" t="s">
        <v>3875</v>
      </c>
      <c r="F882" t="s">
        <v>939</v>
      </c>
      <c r="H882" t="s">
        <v>29</v>
      </c>
      <c r="I882" t="s">
        <v>3921</v>
      </c>
    </row>
    <row r="883" spans="1:9" x14ac:dyDescent="0.35">
      <c r="A883" t="s">
        <v>3923</v>
      </c>
      <c r="B883" t="str">
        <f>"9780816502325"</f>
        <v>9780816502325</v>
      </c>
      <c r="C883" t="s">
        <v>3927</v>
      </c>
      <c r="D883" t="s">
        <v>3924</v>
      </c>
      <c r="E883" t="s">
        <v>3875</v>
      </c>
      <c r="F883" t="s">
        <v>939</v>
      </c>
      <c r="H883" t="s">
        <v>3925</v>
      </c>
      <c r="I883" t="s">
        <v>3926</v>
      </c>
    </row>
    <row r="884" spans="1:9" x14ac:dyDescent="0.35">
      <c r="A884" t="s">
        <v>3928</v>
      </c>
      <c r="B884" t="str">
        <f>"9780816502868"</f>
        <v>9780816502868</v>
      </c>
      <c r="C884" t="s">
        <v>3932</v>
      </c>
      <c r="D884" t="s">
        <v>3929</v>
      </c>
      <c r="E884" t="s">
        <v>3875</v>
      </c>
      <c r="F884" t="s">
        <v>939</v>
      </c>
      <c r="H884" t="s">
        <v>3930</v>
      </c>
      <c r="I884" t="s">
        <v>3931</v>
      </c>
    </row>
    <row r="885" spans="1:9" x14ac:dyDescent="0.35">
      <c r="A885" t="s">
        <v>3933</v>
      </c>
      <c r="B885" t="str">
        <f>"9780816502745"</f>
        <v>9780816502745</v>
      </c>
      <c r="C885" t="s">
        <v>3937</v>
      </c>
      <c r="D885" t="s">
        <v>3934</v>
      </c>
      <c r="E885" t="s">
        <v>3875</v>
      </c>
      <c r="H885" t="s">
        <v>3935</v>
      </c>
      <c r="I885" t="s">
        <v>3936</v>
      </c>
    </row>
    <row r="886" spans="1:9" x14ac:dyDescent="0.35">
      <c r="A886" t="s">
        <v>3938</v>
      </c>
      <c r="B886" t="str">
        <f>"9780816599561"</f>
        <v>9780816599561</v>
      </c>
      <c r="C886" t="s">
        <v>3941</v>
      </c>
      <c r="D886" t="s">
        <v>3939</v>
      </c>
      <c r="E886" t="s">
        <v>3875</v>
      </c>
      <c r="F886" t="s">
        <v>939</v>
      </c>
      <c r="H886" t="s">
        <v>29</v>
      </c>
      <c r="I886" t="s">
        <v>3940</v>
      </c>
    </row>
    <row r="887" spans="1:9" x14ac:dyDescent="0.35">
      <c r="A887" t="s">
        <v>3942</v>
      </c>
      <c r="B887" t="str">
        <f>"9780816599554"</f>
        <v>9780816599554</v>
      </c>
      <c r="C887" t="s">
        <v>3945</v>
      </c>
      <c r="D887" t="s">
        <v>3943</v>
      </c>
      <c r="E887" t="s">
        <v>3875</v>
      </c>
      <c r="H887" t="s">
        <v>29</v>
      </c>
      <c r="I887" t="s">
        <v>3944</v>
      </c>
    </row>
    <row r="888" spans="1:9" x14ac:dyDescent="0.35">
      <c r="A888" t="s">
        <v>3946</v>
      </c>
      <c r="B888" t="str">
        <f>"9780816599318"</f>
        <v>9780816599318</v>
      </c>
      <c r="C888" t="s">
        <v>3949</v>
      </c>
      <c r="D888" t="s">
        <v>3947</v>
      </c>
      <c r="E888" t="s">
        <v>3875</v>
      </c>
      <c r="F888" t="s">
        <v>3907</v>
      </c>
      <c r="H888" t="s">
        <v>29</v>
      </c>
      <c r="I888" t="s">
        <v>3948</v>
      </c>
    </row>
    <row r="889" spans="1:9" x14ac:dyDescent="0.35">
      <c r="A889" t="s">
        <v>3950</v>
      </c>
      <c r="B889" t="str">
        <f>"9780816599516"</f>
        <v>9780816599516</v>
      </c>
      <c r="C889" t="s">
        <v>3953</v>
      </c>
      <c r="D889" t="s">
        <v>3951</v>
      </c>
      <c r="E889" t="s">
        <v>3875</v>
      </c>
      <c r="H889" t="s">
        <v>29</v>
      </c>
      <c r="I889" t="s">
        <v>3952</v>
      </c>
    </row>
    <row r="890" spans="1:9" x14ac:dyDescent="0.35">
      <c r="A890" t="s">
        <v>3954</v>
      </c>
      <c r="B890" t="str">
        <f>"9780816599356"</f>
        <v>9780816599356</v>
      </c>
      <c r="C890" t="s">
        <v>3957</v>
      </c>
      <c r="D890" t="s">
        <v>3956</v>
      </c>
      <c r="E890" t="s">
        <v>3875</v>
      </c>
      <c r="F890" t="s">
        <v>3955</v>
      </c>
      <c r="H890" t="s">
        <v>29</v>
      </c>
      <c r="I890" t="s">
        <v>1856</v>
      </c>
    </row>
    <row r="891" spans="1:9" x14ac:dyDescent="0.35">
      <c r="A891" t="s">
        <v>3958</v>
      </c>
      <c r="B891" t="str">
        <f>"9780816599684"</f>
        <v>9780816599684</v>
      </c>
      <c r="C891" t="s">
        <v>3961</v>
      </c>
      <c r="D891" t="s">
        <v>3959</v>
      </c>
      <c r="E891" t="s">
        <v>3875</v>
      </c>
      <c r="F891" t="s">
        <v>3907</v>
      </c>
      <c r="H891" t="s">
        <v>265</v>
      </c>
      <c r="I891" t="s">
        <v>3960</v>
      </c>
    </row>
    <row r="892" spans="1:9" x14ac:dyDescent="0.35">
      <c r="A892" t="s">
        <v>3962</v>
      </c>
      <c r="B892" t="str">
        <f>"9780816599288"</f>
        <v>9780816599288</v>
      </c>
      <c r="C892" t="s">
        <v>3965</v>
      </c>
      <c r="D892" t="s">
        <v>3963</v>
      </c>
      <c r="E892" t="s">
        <v>3875</v>
      </c>
      <c r="H892" t="s">
        <v>233</v>
      </c>
      <c r="I892" t="s">
        <v>3964</v>
      </c>
    </row>
    <row r="893" spans="1:9" x14ac:dyDescent="0.35">
      <c r="A893" t="s">
        <v>3966</v>
      </c>
      <c r="B893" t="str">
        <f>"9780816599387"</f>
        <v>9780816599387</v>
      </c>
      <c r="C893" t="s">
        <v>3969</v>
      </c>
      <c r="D893" t="s">
        <v>3967</v>
      </c>
      <c r="E893" t="s">
        <v>3875</v>
      </c>
      <c r="H893" t="s">
        <v>29</v>
      </c>
      <c r="I893" t="s">
        <v>3968</v>
      </c>
    </row>
    <row r="894" spans="1:9" x14ac:dyDescent="0.35">
      <c r="A894" t="s">
        <v>3970</v>
      </c>
      <c r="B894" t="str">
        <f>"9780816599523"</f>
        <v>9780816599523</v>
      </c>
      <c r="C894" t="s">
        <v>3973</v>
      </c>
      <c r="D894" t="s">
        <v>3971</v>
      </c>
      <c r="E894" t="s">
        <v>3875</v>
      </c>
      <c r="H894" t="s">
        <v>29</v>
      </c>
      <c r="I894" t="s">
        <v>3972</v>
      </c>
    </row>
    <row r="895" spans="1:9" x14ac:dyDescent="0.35">
      <c r="A895" t="s">
        <v>3974</v>
      </c>
      <c r="B895" t="str">
        <f>"9780816599653"</f>
        <v>9780816599653</v>
      </c>
      <c r="C895" t="s">
        <v>3977</v>
      </c>
      <c r="D895" t="s">
        <v>3975</v>
      </c>
      <c r="E895" t="s">
        <v>3875</v>
      </c>
      <c r="F895" t="s">
        <v>3955</v>
      </c>
      <c r="H895" t="s">
        <v>29</v>
      </c>
      <c r="I895" t="s">
        <v>3976</v>
      </c>
    </row>
    <row r="896" spans="1:9" x14ac:dyDescent="0.35">
      <c r="A896" t="s">
        <v>3978</v>
      </c>
      <c r="B896" t="str">
        <f>"9780816599745"</f>
        <v>9780816599745</v>
      </c>
      <c r="C896" t="s">
        <v>3982</v>
      </c>
      <c r="D896" t="s">
        <v>3980</v>
      </c>
      <c r="E896" t="s">
        <v>3875</v>
      </c>
      <c r="F896" t="s">
        <v>3979</v>
      </c>
      <c r="H896" t="s">
        <v>23</v>
      </c>
      <c r="I896" t="s">
        <v>3981</v>
      </c>
    </row>
    <row r="897" spans="1:9" x14ac:dyDescent="0.35">
      <c r="A897" t="s">
        <v>3983</v>
      </c>
      <c r="B897" t="str">
        <f>"9780816599714"</f>
        <v>9780816599714</v>
      </c>
      <c r="C897" t="s">
        <v>3987</v>
      </c>
      <c r="D897" t="s">
        <v>3984</v>
      </c>
      <c r="E897" t="s">
        <v>3875</v>
      </c>
      <c r="F897" t="s">
        <v>939</v>
      </c>
      <c r="H897" t="s">
        <v>3985</v>
      </c>
      <c r="I897" t="s">
        <v>3986</v>
      </c>
    </row>
    <row r="898" spans="1:9" x14ac:dyDescent="0.35">
      <c r="A898" t="s">
        <v>3988</v>
      </c>
      <c r="B898" t="str">
        <f>"9780816599837"</f>
        <v>9780816599837</v>
      </c>
      <c r="C898" t="s">
        <v>3991</v>
      </c>
      <c r="D898" t="s">
        <v>3989</v>
      </c>
      <c r="E898" t="s">
        <v>3875</v>
      </c>
      <c r="F898" t="s">
        <v>3955</v>
      </c>
      <c r="H898" t="s">
        <v>29</v>
      </c>
      <c r="I898" t="s">
        <v>3990</v>
      </c>
    </row>
    <row r="899" spans="1:9" x14ac:dyDescent="0.35">
      <c r="A899" t="s">
        <v>3992</v>
      </c>
      <c r="B899" t="str">
        <f>"9780816599783"</f>
        <v>9780816599783</v>
      </c>
      <c r="C899" t="s">
        <v>3996</v>
      </c>
      <c r="D899" t="s">
        <v>3993</v>
      </c>
      <c r="E899" t="s">
        <v>3875</v>
      </c>
      <c r="H899" t="s">
        <v>3994</v>
      </c>
      <c r="I899" t="s">
        <v>3995</v>
      </c>
    </row>
    <row r="900" spans="1:9" x14ac:dyDescent="0.35">
      <c r="A900" t="s">
        <v>3997</v>
      </c>
      <c r="B900" t="str">
        <f>"9780816599615"</f>
        <v>9780816599615</v>
      </c>
      <c r="C900" t="s">
        <v>4000</v>
      </c>
      <c r="D900" t="s">
        <v>3998</v>
      </c>
      <c r="E900" t="s">
        <v>3875</v>
      </c>
      <c r="F900" t="s">
        <v>3955</v>
      </c>
      <c r="H900" t="s">
        <v>82</v>
      </c>
      <c r="I900" t="s">
        <v>3999</v>
      </c>
    </row>
    <row r="901" spans="1:9" x14ac:dyDescent="0.35">
      <c r="A901" t="s">
        <v>4001</v>
      </c>
      <c r="B901" t="str">
        <f>"9780816599851"</f>
        <v>9780816599851</v>
      </c>
      <c r="C901" t="s">
        <v>4004</v>
      </c>
      <c r="D901" t="s">
        <v>4002</v>
      </c>
      <c r="E901" t="s">
        <v>3875</v>
      </c>
      <c r="F901" t="s">
        <v>3907</v>
      </c>
      <c r="H901" t="s">
        <v>29</v>
      </c>
      <c r="I901" t="s">
        <v>4003</v>
      </c>
    </row>
    <row r="902" spans="1:9" x14ac:dyDescent="0.35">
      <c r="A902" t="s">
        <v>4005</v>
      </c>
      <c r="B902" t="str">
        <f>"9780816599936"</f>
        <v>9780816599936</v>
      </c>
      <c r="C902" t="s">
        <v>4008</v>
      </c>
      <c r="D902" t="s">
        <v>4006</v>
      </c>
      <c r="E902" t="s">
        <v>3875</v>
      </c>
      <c r="F902" t="s">
        <v>3955</v>
      </c>
      <c r="H902" t="s">
        <v>29</v>
      </c>
      <c r="I902" t="s">
        <v>4007</v>
      </c>
    </row>
    <row r="903" spans="1:9" x14ac:dyDescent="0.35">
      <c r="A903" t="s">
        <v>4009</v>
      </c>
      <c r="B903" t="str">
        <f>"9780816599868"</f>
        <v>9780816599868</v>
      </c>
      <c r="C903" t="s">
        <v>4012</v>
      </c>
      <c r="D903" t="s">
        <v>4010</v>
      </c>
      <c r="E903" t="s">
        <v>3875</v>
      </c>
      <c r="H903" t="s">
        <v>147</v>
      </c>
      <c r="I903" t="s">
        <v>4011</v>
      </c>
    </row>
    <row r="904" spans="1:9" x14ac:dyDescent="0.35">
      <c r="A904" t="s">
        <v>4013</v>
      </c>
      <c r="B904" t="str">
        <f>"9780816599820"</f>
        <v>9780816599820</v>
      </c>
      <c r="C904" t="s">
        <v>4016</v>
      </c>
      <c r="D904" t="s">
        <v>4014</v>
      </c>
      <c r="E904" t="s">
        <v>3875</v>
      </c>
      <c r="H904" t="s">
        <v>298</v>
      </c>
      <c r="I904" t="s">
        <v>4015</v>
      </c>
    </row>
    <row r="905" spans="1:9" x14ac:dyDescent="0.35">
      <c r="A905" t="s">
        <v>4017</v>
      </c>
      <c r="B905" t="str">
        <f>"9780816599899"</f>
        <v>9780816599899</v>
      </c>
      <c r="C905" t="s">
        <v>4020</v>
      </c>
      <c r="D905" t="s">
        <v>4018</v>
      </c>
      <c r="E905" t="s">
        <v>3875</v>
      </c>
      <c r="F905" t="s">
        <v>939</v>
      </c>
      <c r="H905" t="s">
        <v>265</v>
      </c>
      <c r="I905" t="s">
        <v>4019</v>
      </c>
    </row>
    <row r="906" spans="1:9" x14ac:dyDescent="0.35">
      <c r="A906" t="s">
        <v>4021</v>
      </c>
      <c r="B906" t="str">
        <f>"9780816599172"</f>
        <v>9780816599172</v>
      </c>
      <c r="C906" t="s">
        <v>4025</v>
      </c>
      <c r="D906" t="s">
        <v>4023</v>
      </c>
      <c r="E906" t="s">
        <v>3875</v>
      </c>
      <c r="F906" t="s">
        <v>4022</v>
      </c>
      <c r="H906" t="s">
        <v>140</v>
      </c>
      <c r="I906" t="s">
        <v>4024</v>
      </c>
    </row>
    <row r="907" spans="1:9" x14ac:dyDescent="0.35">
      <c r="A907" t="s">
        <v>4026</v>
      </c>
      <c r="B907" t="str">
        <f>"9780816599622"</f>
        <v>9780816599622</v>
      </c>
      <c r="C907" t="s">
        <v>4029</v>
      </c>
      <c r="D907" t="s">
        <v>4027</v>
      </c>
      <c r="E907" t="s">
        <v>3875</v>
      </c>
      <c r="F907" t="s">
        <v>3955</v>
      </c>
      <c r="H907" t="s">
        <v>29</v>
      </c>
      <c r="I907" t="s">
        <v>4028</v>
      </c>
    </row>
    <row r="908" spans="1:9" x14ac:dyDescent="0.35">
      <c r="A908" t="s">
        <v>4030</v>
      </c>
      <c r="B908" t="str">
        <f>"9780816599066"</f>
        <v>9780816599066</v>
      </c>
      <c r="C908" t="s">
        <v>4033</v>
      </c>
      <c r="D908" t="s">
        <v>4031</v>
      </c>
      <c r="E908" t="s">
        <v>3875</v>
      </c>
      <c r="H908" t="s">
        <v>29</v>
      </c>
      <c r="I908" t="s">
        <v>4032</v>
      </c>
    </row>
    <row r="909" spans="1:9" x14ac:dyDescent="0.35">
      <c r="A909" t="s">
        <v>4034</v>
      </c>
      <c r="B909" t="str">
        <f>"9780816599097"</f>
        <v>9780816599097</v>
      </c>
      <c r="C909" t="s">
        <v>4037</v>
      </c>
      <c r="D909" t="s">
        <v>4035</v>
      </c>
      <c r="E909" t="s">
        <v>3875</v>
      </c>
      <c r="H909" t="s">
        <v>1248</v>
      </c>
      <c r="I909" t="s">
        <v>4036</v>
      </c>
    </row>
    <row r="910" spans="1:9" x14ac:dyDescent="0.35">
      <c r="A910" t="s">
        <v>4038</v>
      </c>
      <c r="B910" t="str">
        <f>"9780816599219"</f>
        <v>9780816599219</v>
      </c>
      <c r="C910" t="s">
        <v>4041</v>
      </c>
      <c r="D910" t="s">
        <v>4039</v>
      </c>
      <c r="E910" t="s">
        <v>3875</v>
      </c>
      <c r="F910" t="s">
        <v>939</v>
      </c>
      <c r="H910" t="s">
        <v>82</v>
      </c>
      <c r="I910" t="s">
        <v>4040</v>
      </c>
    </row>
    <row r="911" spans="1:9" x14ac:dyDescent="0.35">
      <c r="A911" t="s">
        <v>4042</v>
      </c>
      <c r="B911" t="str">
        <f>"9780816599196"</f>
        <v>9780816599196</v>
      </c>
      <c r="C911" t="s">
        <v>4045</v>
      </c>
      <c r="D911" t="s">
        <v>4043</v>
      </c>
      <c r="E911" t="s">
        <v>3875</v>
      </c>
      <c r="F911" t="s">
        <v>3955</v>
      </c>
      <c r="H911" t="s">
        <v>29</v>
      </c>
      <c r="I911" t="s">
        <v>4044</v>
      </c>
    </row>
    <row r="912" spans="1:9" x14ac:dyDescent="0.35">
      <c r="A912" t="s">
        <v>4046</v>
      </c>
      <c r="B912" t="str">
        <f>"9780816599660"</f>
        <v>9780816599660</v>
      </c>
      <c r="C912" t="s">
        <v>4049</v>
      </c>
      <c r="D912" t="s">
        <v>4047</v>
      </c>
      <c r="E912" t="s">
        <v>3875</v>
      </c>
      <c r="F912" t="s">
        <v>939</v>
      </c>
      <c r="H912" t="s">
        <v>265</v>
      </c>
      <c r="I912" t="s">
        <v>4048</v>
      </c>
    </row>
    <row r="913" spans="1:9" x14ac:dyDescent="0.35">
      <c r="A913" t="s">
        <v>4050</v>
      </c>
      <c r="B913" t="str">
        <f>"9780816599035"</f>
        <v>9780816599035</v>
      </c>
      <c r="C913" t="s">
        <v>4053</v>
      </c>
      <c r="D913" t="s">
        <v>4051</v>
      </c>
      <c r="E913" t="s">
        <v>3875</v>
      </c>
      <c r="H913" t="s">
        <v>29</v>
      </c>
      <c r="I913" t="s">
        <v>4052</v>
      </c>
    </row>
    <row r="914" spans="1:9" x14ac:dyDescent="0.35">
      <c r="A914" t="s">
        <v>4054</v>
      </c>
      <c r="B914" t="str">
        <f>"9780816599257"</f>
        <v>9780816599257</v>
      </c>
      <c r="C914" t="s">
        <v>4057</v>
      </c>
      <c r="D914" t="s">
        <v>1422</v>
      </c>
      <c r="E914" t="s">
        <v>3875</v>
      </c>
      <c r="F914" t="s">
        <v>4055</v>
      </c>
      <c r="H914" t="s">
        <v>44</v>
      </c>
      <c r="I914" t="s">
        <v>4056</v>
      </c>
    </row>
    <row r="915" spans="1:9" x14ac:dyDescent="0.35">
      <c r="A915" t="s">
        <v>4058</v>
      </c>
      <c r="B915" t="str">
        <f>"9780816599059"</f>
        <v>9780816599059</v>
      </c>
      <c r="C915" t="s">
        <v>4061</v>
      </c>
      <c r="D915" t="s">
        <v>4059</v>
      </c>
      <c r="E915" t="s">
        <v>3875</v>
      </c>
      <c r="H915" t="s">
        <v>29</v>
      </c>
      <c r="I915" t="s">
        <v>4060</v>
      </c>
    </row>
    <row r="916" spans="1:9" x14ac:dyDescent="0.35">
      <c r="A916" t="s">
        <v>4062</v>
      </c>
      <c r="B916" t="str">
        <f>"9780816598892"</f>
        <v>9780816598892</v>
      </c>
      <c r="C916" t="s">
        <v>4065</v>
      </c>
      <c r="D916" t="s">
        <v>4063</v>
      </c>
      <c r="E916" t="s">
        <v>3875</v>
      </c>
      <c r="F916" t="s">
        <v>3955</v>
      </c>
      <c r="H916" t="s">
        <v>29</v>
      </c>
      <c r="I916" t="s">
        <v>4064</v>
      </c>
    </row>
    <row r="917" spans="1:9" x14ac:dyDescent="0.35">
      <c r="A917" t="s">
        <v>4066</v>
      </c>
      <c r="B917" t="str">
        <f>"9780816598786"</f>
        <v>9780816598786</v>
      </c>
      <c r="C917" t="s">
        <v>4069</v>
      </c>
      <c r="D917" t="s">
        <v>4067</v>
      </c>
      <c r="E917" t="s">
        <v>3875</v>
      </c>
      <c r="H917" t="s">
        <v>44</v>
      </c>
      <c r="I917" t="s">
        <v>4068</v>
      </c>
    </row>
    <row r="918" spans="1:9" x14ac:dyDescent="0.35">
      <c r="A918" t="s">
        <v>4070</v>
      </c>
      <c r="B918" t="str">
        <f>"9780816598922"</f>
        <v>9780816598922</v>
      </c>
      <c r="C918" t="s">
        <v>4073</v>
      </c>
      <c r="D918" t="s">
        <v>4071</v>
      </c>
      <c r="E918" t="s">
        <v>3875</v>
      </c>
      <c r="F918" t="s">
        <v>4022</v>
      </c>
      <c r="H918" t="s">
        <v>29</v>
      </c>
      <c r="I918" t="s">
        <v>4072</v>
      </c>
    </row>
    <row r="919" spans="1:9" x14ac:dyDescent="0.35">
      <c r="A919" t="s">
        <v>4074</v>
      </c>
      <c r="B919" t="str">
        <f>"9780816598663"</f>
        <v>9780816598663</v>
      </c>
      <c r="C919" t="s">
        <v>4077</v>
      </c>
      <c r="D919" t="s">
        <v>4075</v>
      </c>
      <c r="E919" t="s">
        <v>3875</v>
      </c>
      <c r="F919" t="s">
        <v>939</v>
      </c>
      <c r="H919" t="s">
        <v>1248</v>
      </c>
      <c r="I919" t="s">
        <v>4076</v>
      </c>
    </row>
    <row r="920" spans="1:9" x14ac:dyDescent="0.35">
      <c r="A920" t="s">
        <v>4078</v>
      </c>
      <c r="B920" t="str">
        <f>"9780816598601"</f>
        <v>9780816598601</v>
      </c>
      <c r="C920" t="s">
        <v>4082</v>
      </c>
      <c r="D920" t="s">
        <v>4079</v>
      </c>
      <c r="E920" t="s">
        <v>3875</v>
      </c>
      <c r="H920" t="s">
        <v>4080</v>
      </c>
      <c r="I920" t="s">
        <v>4081</v>
      </c>
    </row>
    <row r="921" spans="1:9" x14ac:dyDescent="0.35">
      <c r="A921" t="s">
        <v>4083</v>
      </c>
      <c r="B921" t="str">
        <f>"9780816598618"</f>
        <v>9780816598618</v>
      </c>
      <c r="C921" t="s">
        <v>4086</v>
      </c>
      <c r="D921" t="s">
        <v>4084</v>
      </c>
      <c r="E921" t="s">
        <v>3875</v>
      </c>
      <c r="H921" t="s">
        <v>49</v>
      </c>
      <c r="I921" t="s">
        <v>4085</v>
      </c>
    </row>
    <row r="922" spans="1:9" x14ac:dyDescent="0.35">
      <c r="A922" t="s">
        <v>4087</v>
      </c>
      <c r="B922" t="str">
        <f>"9780816598724"</f>
        <v>9780816598724</v>
      </c>
      <c r="C922" t="s">
        <v>4090</v>
      </c>
      <c r="D922" t="s">
        <v>4088</v>
      </c>
      <c r="E922" t="s">
        <v>3875</v>
      </c>
      <c r="H922" t="s">
        <v>29</v>
      </c>
      <c r="I922" t="s">
        <v>4089</v>
      </c>
    </row>
    <row r="923" spans="1:9" x14ac:dyDescent="0.35">
      <c r="A923" t="s">
        <v>4091</v>
      </c>
      <c r="B923" t="str">
        <f>"9780816598649"</f>
        <v>9780816598649</v>
      </c>
      <c r="C923" t="s">
        <v>4094</v>
      </c>
      <c r="D923" t="s">
        <v>4092</v>
      </c>
      <c r="E923" t="s">
        <v>3875</v>
      </c>
      <c r="H923" t="s">
        <v>82</v>
      </c>
      <c r="I923" t="s">
        <v>4093</v>
      </c>
    </row>
    <row r="924" spans="1:9" x14ac:dyDescent="0.35">
      <c r="A924" t="s">
        <v>4095</v>
      </c>
      <c r="B924" t="str">
        <f>"9780816598564"</f>
        <v>9780816598564</v>
      </c>
      <c r="C924" t="s">
        <v>4098</v>
      </c>
      <c r="D924" t="s">
        <v>4096</v>
      </c>
      <c r="E924" t="s">
        <v>3875</v>
      </c>
      <c r="F924" t="s">
        <v>939</v>
      </c>
      <c r="H924" t="s">
        <v>201</v>
      </c>
      <c r="I924" t="s">
        <v>4097</v>
      </c>
    </row>
    <row r="925" spans="1:9" x14ac:dyDescent="0.35">
      <c r="A925" t="s">
        <v>4099</v>
      </c>
      <c r="B925" t="str">
        <f>"9780816598656"</f>
        <v>9780816598656</v>
      </c>
      <c r="C925" t="s">
        <v>4102</v>
      </c>
      <c r="D925" t="s">
        <v>4100</v>
      </c>
      <c r="E925" t="s">
        <v>3875</v>
      </c>
      <c r="H925" t="s">
        <v>29</v>
      </c>
      <c r="I925" t="s">
        <v>4101</v>
      </c>
    </row>
    <row r="926" spans="1:9" x14ac:dyDescent="0.35">
      <c r="A926" t="s">
        <v>4103</v>
      </c>
      <c r="B926" t="str">
        <f>"9780816502349"</f>
        <v>9780816502349</v>
      </c>
      <c r="C926" t="s">
        <v>4106</v>
      </c>
      <c r="D926" t="s">
        <v>4104</v>
      </c>
      <c r="E926" t="s">
        <v>3875</v>
      </c>
      <c r="F926" t="s">
        <v>3907</v>
      </c>
      <c r="H926" t="s">
        <v>29</v>
      </c>
      <c r="I926" t="s">
        <v>4105</v>
      </c>
    </row>
    <row r="927" spans="1:9" x14ac:dyDescent="0.35">
      <c r="A927" t="s">
        <v>4107</v>
      </c>
      <c r="B927" t="str">
        <f>"9780816531745"</f>
        <v>9780816531745</v>
      </c>
      <c r="C927" t="s">
        <v>4110</v>
      </c>
      <c r="D927" t="s">
        <v>4108</v>
      </c>
      <c r="E927" t="s">
        <v>3875</v>
      </c>
      <c r="H927" t="s">
        <v>3877</v>
      </c>
      <c r="I927" t="s">
        <v>4109</v>
      </c>
    </row>
    <row r="928" spans="1:9" x14ac:dyDescent="0.35">
      <c r="A928" t="s">
        <v>4111</v>
      </c>
      <c r="B928" t="str">
        <f>"9780816501670"</f>
        <v>9780816501670</v>
      </c>
      <c r="C928" t="s">
        <v>4114</v>
      </c>
      <c r="D928" t="s">
        <v>4112</v>
      </c>
      <c r="E928" t="s">
        <v>3875</v>
      </c>
      <c r="H928" t="s">
        <v>111</v>
      </c>
      <c r="I928" t="s">
        <v>4113</v>
      </c>
    </row>
    <row r="929" spans="1:9" x14ac:dyDescent="0.35">
      <c r="A929" t="s">
        <v>4115</v>
      </c>
      <c r="B929" t="str">
        <f>"9780816501700"</f>
        <v>9780816501700</v>
      </c>
      <c r="C929" t="s">
        <v>4118</v>
      </c>
      <c r="D929" t="s">
        <v>4116</v>
      </c>
      <c r="E929" t="s">
        <v>3875</v>
      </c>
      <c r="F929" t="s">
        <v>4022</v>
      </c>
      <c r="H929" t="s">
        <v>636</v>
      </c>
      <c r="I929" t="s">
        <v>4117</v>
      </c>
    </row>
    <row r="930" spans="1:9" x14ac:dyDescent="0.35">
      <c r="A930" t="s">
        <v>4119</v>
      </c>
      <c r="B930" t="str">
        <f>"9780774850445"</f>
        <v>9780774850445</v>
      </c>
      <c r="C930" t="s">
        <v>4123</v>
      </c>
      <c r="D930" t="s">
        <v>4121</v>
      </c>
      <c r="E930" t="s">
        <v>4120</v>
      </c>
      <c r="H930" t="s">
        <v>298</v>
      </c>
      <c r="I930" t="s">
        <v>4122</v>
      </c>
    </row>
    <row r="931" spans="1:9" x14ac:dyDescent="0.35">
      <c r="A931" t="s">
        <v>4124</v>
      </c>
      <c r="B931" t="str">
        <f>"9780774851251"</f>
        <v>9780774851251</v>
      </c>
      <c r="C931" t="s">
        <v>4127</v>
      </c>
      <c r="D931" t="s">
        <v>4125</v>
      </c>
      <c r="E931" t="s">
        <v>4120</v>
      </c>
      <c r="H931" t="s">
        <v>265</v>
      </c>
      <c r="I931" t="s">
        <v>4126</v>
      </c>
    </row>
    <row r="932" spans="1:9" x14ac:dyDescent="0.35">
      <c r="A932" t="s">
        <v>4128</v>
      </c>
      <c r="B932" t="str">
        <f>"9780774851114"</f>
        <v>9780774851114</v>
      </c>
      <c r="C932" t="s">
        <v>4131</v>
      </c>
      <c r="D932" t="s">
        <v>4129</v>
      </c>
      <c r="E932" t="s">
        <v>4120</v>
      </c>
      <c r="H932" t="s">
        <v>29</v>
      </c>
      <c r="I932" t="s">
        <v>4130</v>
      </c>
    </row>
    <row r="933" spans="1:9" x14ac:dyDescent="0.35">
      <c r="A933" t="s">
        <v>4132</v>
      </c>
      <c r="B933" t="str">
        <f>"9780774851633"</f>
        <v>9780774851633</v>
      </c>
      <c r="C933" t="s">
        <v>4135</v>
      </c>
      <c r="D933" t="s">
        <v>4133</v>
      </c>
      <c r="E933" t="s">
        <v>4120</v>
      </c>
      <c r="F933" t="s">
        <v>1776</v>
      </c>
      <c r="H933" t="s">
        <v>233</v>
      </c>
      <c r="I933" t="s">
        <v>4134</v>
      </c>
    </row>
    <row r="934" spans="1:9" x14ac:dyDescent="0.35">
      <c r="A934" t="s">
        <v>4136</v>
      </c>
      <c r="B934" t="str">
        <f>"9780774851572"</f>
        <v>9780774851572</v>
      </c>
      <c r="C934" t="s">
        <v>4139</v>
      </c>
      <c r="D934" t="s">
        <v>4137</v>
      </c>
      <c r="E934" t="s">
        <v>4120</v>
      </c>
      <c r="F934" t="s">
        <v>1776</v>
      </c>
      <c r="H934" t="s">
        <v>233</v>
      </c>
      <c r="I934" t="s">
        <v>4138</v>
      </c>
    </row>
    <row r="935" spans="1:9" x14ac:dyDescent="0.35">
      <c r="A935" t="s">
        <v>4140</v>
      </c>
      <c r="B935" t="str">
        <f>"9780774850971"</f>
        <v>9780774850971</v>
      </c>
      <c r="C935" t="s">
        <v>4144</v>
      </c>
      <c r="D935" t="s">
        <v>4142</v>
      </c>
      <c r="E935" t="s">
        <v>4120</v>
      </c>
      <c r="F935" t="s">
        <v>4141</v>
      </c>
      <c r="H935" t="s">
        <v>147</v>
      </c>
      <c r="I935" t="s">
        <v>4143</v>
      </c>
    </row>
    <row r="936" spans="1:9" x14ac:dyDescent="0.35">
      <c r="A936" t="s">
        <v>4145</v>
      </c>
      <c r="B936" t="str">
        <f>"9780774851961"</f>
        <v>9780774851961</v>
      </c>
      <c r="C936" t="s">
        <v>4148</v>
      </c>
      <c r="D936" t="s">
        <v>4146</v>
      </c>
      <c r="E936" t="s">
        <v>4120</v>
      </c>
      <c r="H936" t="s">
        <v>1283</v>
      </c>
      <c r="I936" t="s">
        <v>4147</v>
      </c>
    </row>
    <row r="937" spans="1:9" x14ac:dyDescent="0.35">
      <c r="A937" t="s">
        <v>4149</v>
      </c>
      <c r="B937" t="str">
        <f>"9780774851831"</f>
        <v>9780774851831</v>
      </c>
      <c r="C937" t="s">
        <v>4153</v>
      </c>
      <c r="D937" t="s">
        <v>4151</v>
      </c>
      <c r="E937" t="s">
        <v>4120</v>
      </c>
      <c r="F937" t="s">
        <v>4150</v>
      </c>
      <c r="H937" t="s">
        <v>29</v>
      </c>
      <c r="I937" t="s">
        <v>4152</v>
      </c>
    </row>
    <row r="938" spans="1:9" x14ac:dyDescent="0.35">
      <c r="A938" t="s">
        <v>4154</v>
      </c>
      <c r="B938" t="str">
        <f>"9780774851688"</f>
        <v>9780774851688</v>
      </c>
      <c r="C938" t="s">
        <v>4157</v>
      </c>
      <c r="D938" t="s">
        <v>4155</v>
      </c>
      <c r="E938" t="s">
        <v>4120</v>
      </c>
      <c r="H938" t="s">
        <v>82</v>
      </c>
      <c r="I938" t="s">
        <v>4156</v>
      </c>
    </row>
    <row r="939" spans="1:9" x14ac:dyDescent="0.35">
      <c r="A939" t="s">
        <v>4158</v>
      </c>
      <c r="B939" t="str">
        <f>"9780774851701"</f>
        <v>9780774851701</v>
      </c>
      <c r="C939" t="s">
        <v>4161</v>
      </c>
      <c r="D939" t="s">
        <v>4159</v>
      </c>
      <c r="E939" t="s">
        <v>4120</v>
      </c>
      <c r="F939" t="s">
        <v>1776</v>
      </c>
      <c r="H939" t="s">
        <v>233</v>
      </c>
      <c r="I939" t="s">
        <v>4160</v>
      </c>
    </row>
    <row r="940" spans="1:9" x14ac:dyDescent="0.35">
      <c r="A940" t="s">
        <v>4162</v>
      </c>
      <c r="B940" t="str">
        <f>"9780774851794"</f>
        <v>9780774851794</v>
      </c>
      <c r="C940" t="s">
        <v>4165</v>
      </c>
      <c r="D940" t="s">
        <v>4163</v>
      </c>
      <c r="E940" t="s">
        <v>4120</v>
      </c>
      <c r="H940" t="s">
        <v>82</v>
      </c>
      <c r="I940" t="s">
        <v>4164</v>
      </c>
    </row>
    <row r="941" spans="1:9" x14ac:dyDescent="0.35">
      <c r="A941" t="s">
        <v>4166</v>
      </c>
      <c r="B941" t="str">
        <f>"9780774852340"</f>
        <v>9780774852340</v>
      </c>
      <c r="C941" t="s">
        <v>4169</v>
      </c>
      <c r="D941" t="s">
        <v>4167</v>
      </c>
      <c r="E941" t="s">
        <v>4120</v>
      </c>
      <c r="H941" t="s">
        <v>29</v>
      </c>
      <c r="I941" t="s">
        <v>4168</v>
      </c>
    </row>
    <row r="942" spans="1:9" x14ac:dyDescent="0.35">
      <c r="A942" t="s">
        <v>4170</v>
      </c>
      <c r="B942" t="str">
        <f>"9780774853873"</f>
        <v>9780774853873</v>
      </c>
      <c r="C942" t="s">
        <v>4174</v>
      </c>
      <c r="D942" t="s">
        <v>4171</v>
      </c>
      <c r="E942" t="s">
        <v>4120</v>
      </c>
      <c r="F942" t="s">
        <v>4150</v>
      </c>
      <c r="H942" t="s">
        <v>4172</v>
      </c>
      <c r="I942" t="s">
        <v>4173</v>
      </c>
    </row>
    <row r="943" spans="1:9" x14ac:dyDescent="0.35">
      <c r="A943" t="s">
        <v>4175</v>
      </c>
      <c r="B943" t="str">
        <f>"9780774851138"</f>
        <v>9780774851138</v>
      </c>
      <c r="C943" t="s">
        <v>4178</v>
      </c>
      <c r="D943" t="s">
        <v>4176</v>
      </c>
      <c r="E943" t="s">
        <v>4120</v>
      </c>
      <c r="H943" t="s">
        <v>29</v>
      </c>
      <c r="I943" t="s">
        <v>4177</v>
      </c>
    </row>
    <row r="944" spans="1:9" x14ac:dyDescent="0.35">
      <c r="A944" t="s">
        <v>4179</v>
      </c>
      <c r="B944" t="str">
        <f>"9780774854061"</f>
        <v>9780774854061</v>
      </c>
      <c r="C944" t="s">
        <v>4182</v>
      </c>
      <c r="D944" t="s">
        <v>4180</v>
      </c>
      <c r="E944" t="s">
        <v>4120</v>
      </c>
      <c r="H944" t="s">
        <v>265</v>
      </c>
      <c r="I944" t="s">
        <v>4181</v>
      </c>
    </row>
    <row r="945" spans="1:9" x14ac:dyDescent="0.35">
      <c r="A945" t="s">
        <v>4183</v>
      </c>
      <c r="B945" t="str">
        <f>"9780774855884"</f>
        <v>9780774855884</v>
      </c>
      <c r="C945" t="s">
        <v>4188</v>
      </c>
      <c r="D945" t="s">
        <v>4185</v>
      </c>
      <c r="E945" t="s">
        <v>4120</v>
      </c>
      <c r="F945" t="s">
        <v>4184</v>
      </c>
      <c r="H945" t="s">
        <v>4186</v>
      </c>
      <c r="I945" t="s">
        <v>4187</v>
      </c>
    </row>
    <row r="946" spans="1:9" x14ac:dyDescent="0.35">
      <c r="A946" t="s">
        <v>4189</v>
      </c>
      <c r="B946" t="str">
        <f>"9780774855969"</f>
        <v>9780774855969</v>
      </c>
      <c r="C946" t="s">
        <v>4193</v>
      </c>
      <c r="D946" t="s">
        <v>4191</v>
      </c>
      <c r="E946" t="s">
        <v>4120</v>
      </c>
      <c r="F946" t="s">
        <v>4190</v>
      </c>
      <c r="H946" t="s">
        <v>29</v>
      </c>
      <c r="I946" t="s">
        <v>4192</v>
      </c>
    </row>
    <row r="947" spans="1:9" x14ac:dyDescent="0.35">
      <c r="A947" t="s">
        <v>4194</v>
      </c>
      <c r="B947" t="str">
        <f>"9780774855693"</f>
        <v>9780774855693</v>
      </c>
      <c r="C947" t="s">
        <v>4197</v>
      </c>
      <c r="D947" t="s">
        <v>4195</v>
      </c>
      <c r="E947" t="s">
        <v>4120</v>
      </c>
      <c r="H947" t="s">
        <v>851</v>
      </c>
      <c r="I947" t="s">
        <v>4196</v>
      </c>
    </row>
    <row r="948" spans="1:9" x14ac:dyDescent="0.35">
      <c r="A948" t="s">
        <v>4198</v>
      </c>
      <c r="B948" t="str">
        <f>"9780774855785"</f>
        <v>9780774855785</v>
      </c>
      <c r="C948" t="s">
        <v>4201</v>
      </c>
      <c r="D948" t="s">
        <v>4199</v>
      </c>
      <c r="E948" t="s">
        <v>4120</v>
      </c>
      <c r="H948" t="s">
        <v>265</v>
      </c>
      <c r="I948" t="s">
        <v>4200</v>
      </c>
    </row>
    <row r="949" spans="1:9" x14ac:dyDescent="0.35">
      <c r="A949" t="s">
        <v>4202</v>
      </c>
      <c r="B949" t="str">
        <f>"9780774855266"</f>
        <v>9780774855266</v>
      </c>
      <c r="C949" t="s">
        <v>4206</v>
      </c>
      <c r="D949" t="s">
        <v>4204</v>
      </c>
      <c r="E949" t="s">
        <v>4120</v>
      </c>
      <c r="F949" t="s">
        <v>4203</v>
      </c>
      <c r="H949" t="s">
        <v>44</v>
      </c>
      <c r="I949" t="s">
        <v>4205</v>
      </c>
    </row>
    <row r="950" spans="1:9" x14ac:dyDescent="0.35">
      <c r="A950" t="s">
        <v>4207</v>
      </c>
      <c r="B950" t="str">
        <f>"9780774855525"</f>
        <v>9780774855525</v>
      </c>
      <c r="C950" t="s">
        <v>4210</v>
      </c>
      <c r="D950" t="s">
        <v>4208</v>
      </c>
      <c r="E950" t="s">
        <v>4120</v>
      </c>
      <c r="H950" t="s">
        <v>29</v>
      </c>
      <c r="I950" t="s">
        <v>4209</v>
      </c>
    </row>
    <row r="951" spans="1:9" x14ac:dyDescent="0.35">
      <c r="A951" t="s">
        <v>4211</v>
      </c>
      <c r="B951" t="str">
        <f>"9780774855778"</f>
        <v>9780774855778</v>
      </c>
      <c r="C951" t="s">
        <v>4215</v>
      </c>
      <c r="D951" t="s">
        <v>4213</v>
      </c>
      <c r="E951" t="s">
        <v>4120</v>
      </c>
      <c r="F951" t="s">
        <v>4212</v>
      </c>
      <c r="H951" t="s">
        <v>233</v>
      </c>
      <c r="I951" t="s">
        <v>4214</v>
      </c>
    </row>
    <row r="952" spans="1:9" x14ac:dyDescent="0.35">
      <c r="A952" t="s">
        <v>4216</v>
      </c>
      <c r="B952" t="str">
        <f>"9780774855433"</f>
        <v>9780774855433</v>
      </c>
      <c r="C952" t="s">
        <v>4220</v>
      </c>
      <c r="D952" t="s">
        <v>4218</v>
      </c>
      <c r="E952" t="s">
        <v>4120</v>
      </c>
      <c r="F952" t="s">
        <v>4217</v>
      </c>
      <c r="H952" t="s">
        <v>233</v>
      </c>
      <c r="I952" t="s">
        <v>4219</v>
      </c>
    </row>
    <row r="953" spans="1:9" x14ac:dyDescent="0.35">
      <c r="A953" t="s">
        <v>4221</v>
      </c>
      <c r="B953" t="str">
        <f>"9780774855495"</f>
        <v>9780774855495</v>
      </c>
      <c r="C953" t="s">
        <v>4224</v>
      </c>
      <c r="D953" t="s">
        <v>4222</v>
      </c>
      <c r="E953" t="s">
        <v>4120</v>
      </c>
      <c r="H953" t="s">
        <v>29</v>
      </c>
      <c r="I953" t="s">
        <v>4223</v>
      </c>
    </row>
    <row r="954" spans="1:9" x14ac:dyDescent="0.35">
      <c r="A954" t="s">
        <v>4225</v>
      </c>
      <c r="B954" t="str">
        <f>"9780774855891"</f>
        <v>9780774855891</v>
      </c>
      <c r="C954" t="s">
        <v>4228</v>
      </c>
      <c r="D954" t="s">
        <v>4226</v>
      </c>
      <c r="E954" t="s">
        <v>4120</v>
      </c>
      <c r="H954" t="s">
        <v>77</v>
      </c>
      <c r="I954" t="s">
        <v>4227</v>
      </c>
    </row>
    <row r="955" spans="1:9" x14ac:dyDescent="0.35">
      <c r="A955" t="s">
        <v>4229</v>
      </c>
      <c r="B955" t="str">
        <f>"9780774855082"</f>
        <v>9780774855082</v>
      </c>
      <c r="C955" t="s">
        <v>4232</v>
      </c>
      <c r="D955" t="s">
        <v>4230</v>
      </c>
      <c r="E955" t="s">
        <v>4120</v>
      </c>
      <c r="H955" t="s">
        <v>201</v>
      </c>
      <c r="I955" t="s">
        <v>4231</v>
      </c>
    </row>
    <row r="956" spans="1:9" x14ac:dyDescent="0.35">
      <c r="A956" t="s">
        <v>4233</v>
      </c>
      <c r="B956" t="str">
        <f>"9780774815284"</f>
        <v>9780774815284</v>
      </c>
      <c r="C956" t="s">
        <v>4237</v>
      </c>
      <c r="D956" t="s">
        <v>4235</v>
      </c>
      <c r="E956" t="s">
        <v>4120</v>
      </c>
      <c r="F956" t="s">
        <v>4234</v>
      </c>
      <c r="H956" t="s">
        <v>147</v>
      </c>
      <c r="I956" t="s">
        <v>4236</v>
      </c>
    </row>
    <row r="957" spans="1:9" x14ac:dyDescent="0.35">
      <c r="A957" t="s">
        <v>4238</v>
      </c>
      <c r="B957" t="str">
        <f>"9780774814966"</f>
        <v>9780774814966</v>
      </c>
      <c r="C957" t="s">
        <v>4242</v>
      </c>
      <c r="D957" t="s">
        <v>4240</v>
      </c>
      <c r="E957" t="s">
        <v>4120</v>
      </c>
      <c r="F957" t="s">
        <v>4239</v>
      </c>
      <c r="H957" t="s">
        <v>29</v>
      </c>
      <c r="I957" t="s">
        <v>4241</v>
      </c>
    </row>
    <row r="958" spans="1:9" x14ac:dyDescent="0.35">
      <c r="A958" t="s">
        <v>4243</v>
      </c>
      <c r="B958" t="str">
        <f>"9780774856058"</f>
        <v>9780774856058</v>
      </c>
      <c r="C958" t="s">
        <v>4247</v>
      </c>
      <c r="D958" t="s">
        <v>4244</v>
      </c>
      <c r="E958" t="s">
        <v>4120</v>
      </c>
      <c r="F958" t="s">
        <v>1776</v>
      </c>
      <c r="H958" t="s">
        <v>4245</v>
      </c>
      <c r="I958" t="s">
        <v>4246</v>
      </c>
    </row>
    <row r="959" spans="1:9" x14ac:dyDescent="0.35">
      <c r="A959" t="s">
        <v>4248</v>
      </c>
      <c r="B959" t="str">
        <f>"9780774857222"</f>
        <v>9780774857222</v>
      </c>
      <c r="C959" t="s">
        <v>4251</v>
      </c>
      <c r="D959" t="s">
        <v>4249</v>
      </c>
      <c r="E959" t="s">
        <v>4120</v>
      </c>
      <c r="F959" t="s">
        <v>1776</v>
      </c>
      <c r="H959" t="s">
        <v>982</v>
      </c>
      <c r="I959" t="s">
        <v>4250</v>
      </c>
    </row>
    <row r="960" spans="1:9" x14ac:dyDescent="0.35">
      <c r="A960" t="s">
        <v>4252</v>
      </c>
      <c r="B960" t="str">
        <f>"9780774820073"</f>
        <v>9780774820073</v>
      </c>
      <c r="C960" t="s">
        <v>4255</v>
      </c>
      <c r="D960" t="s">
        <v>4253</v>
      </c>
      <c r="E960" t="s">
        <v>4120</v>
      </c>
      <c r="H960" t="s">
        <v>29</v>
      </c>
      <c r="I960" t="s">
        <v>4254</v>
      </c>
    </row>
    <row r="961" spans="1:9" x14ac:dyDescent="0.35">
      <c r="A961" t="s">
        <v>4256</v>
      </c>
      <c r="B961" t="str">
        <f>"9780774822466"</f>
        <v>9780774822466</v>
      </c>
      <c r="C961" t="s">
        <v>4259</v>
      </c>
      <c r="D961" t="s">
        <v>4257</v>
      </c>
      <c r="E961" t="s">
        <v>4120</v>
      </c>
      <c r="H961" t="s">
        <v>29</v>
      </c>
      <c r="I961" t="s">
        <v>4258</v>
      </c>
    </row>
    <row r="962" spans="1:9" x14ac:dyDescent="0.35">
      <c r="A962" t="s">
        <v>4260</v>
      </c>
      <c r="B962" t="str">
        <f>"9780774822541"</f>
        <v>9780774822541</v>
      </c>
      <c r="C962" t="s">
        <v>4263</v>
      </c>
      <c r="D962" t="s">
        <v>4261</v>
      </c>
      <c r="E962" t="s">
        <v>4120</v>
      </c>
      <c r="F962" t="s">
        <v>4217</v>
      </c>
      <c r="H962" t="s">
        <v>233</v>
      </c>
      <c r="I962" t="s">
        <v>4262</v>
      </c>
    </row>
    <row r="963" spans="1:9" x14ac:dyDescent="0.35">
      <c r="A963" t="s">
        <v>4264</v>
      </c>
      <c r="B963" t="str">
        <f>"9780774824583"</f>
        <v>9780774824583</v>
      </c>
      <c r="C963" t="s">
        <v>4267</v>
      </c>
      <c r="D963" t="s">
        <v>4265</v>
      </c>
      <c r="E963" t="s">
        <v>4120</v>
      </c>
      <c r="F963" t="s">
        <v>4217</v>
      </c>
      <c r="H963" t="s">
        <v>233</v>
      </c>
      <c r="I963" t="s">
        <v>4266</v>
      </c>
    </row>
    <row r="964" spans="1:9" x14ac:dyDescent="0.35">
      <c r="A964" t="s">
        <v>4268</v>
      </c>
      <c r="B964" t="str">
        <f>"9780774824996"</f>
        <v>9780774824996</v>
      </c>
      <c r="C964" t="s">
        <v>4271</v>
      </c>
      <c r="D964" t="s">
        <v>4269</v>
      </c>
      <c r="E964" t="s">
        <v>4120</v>
      </c>
      <c r="F964" t="s">
        <v>4217</v>
      </c>
      <c r="H964" t="s">
        <v>111</v>
      </c>
      <c r="I964" t="s">
        <v>4270</v>
      </c>
    </row>
    <row r="965" spans="1:9" x14ac:dyDescent="0.35">
      <c r="A965" t="s">
        <v>4272</v>
      </c>
      <c r="B965" t="str">
        <f>"9780774817912"</f>
        <v>9780774817912</v>
      </c>
      <c r="C965" t="s">
        <v>4275</v>
      </c>
      <c r="D965" t="s">
        <v>4273</v>
      </c>
      <c r="E965" t="s">
        <v>4120</v>
      </c>
      <c r="H965" t="s">
        <v>233</v>
      </c>
      <c r="I965" t="s">
        <v>4274</v>
      </c>
    </row>
    <row r="966" spans="1:9" x14ac:dyDescent="0.35">
      <c r="A966" t="s">
        <v>4276</v>
      </c>
      <c r="B966" t="str">
        <f>"9780774818858"</f>
        <v>9780774818858</v>
      </c>
      <c r="C966" t="s">
        <v>4280</v>
      </c>
      <c r="D966" t="s">
        <v>4277</v>
      </c>
      <c r="E966" t="s">
        <v>4120</v>
      </c>
      <c r="H966" t="s">
        <v>4278</v>
      </c>
      <c r="I966" t="s">
        <v>4279</v>
      </c>
    </row>
    <row r="967" spans="1:9" x14ac:dyDescent="0.35">
      <c r="A967" t="s">
        <v>4281</v>
      </c>
      <c r="B967" t="str">
        <f>"9780774818308"</f>
        <v>9780774818308</v>
      </c>
      <c r="C967" t="s">
        <v>4285</v>
      </c>
      <c r="D967" t="s">
        <v>4283</v>
      </c>
      <c r="E967" t="s">
        <v>4120</v>
      </c>
      <c r="F967" t="s">
        <v>4282</v>
      </c>
      <c r="H967" t="s">
        <v>2254</v>
      </c>
      <c r="I967" t="s">
        <v>4284</v>
      </c>
    </row>
    <row r="968" spans="1:9" x14ac:dyDescent="0.35">
      <c r="A968" t="s">
        <v>4286</v>
      </c>
      <c r="B968" t="str">
        <f>"9780774815628"</f>
        <v>9780774815628</v>
      </c>
      <c r="C968" t="s">
        <v>4289</v>
      </c>
      <c r="D968" t="s">
        <v>4287</v>
      </c>
      <c r="E968" t="s">
        <v>4120</v>
      </c>
      <c r="F968" t="s">
        <v>4217</v>
      </c>
      <c r="H968" t="s">
        <v>233</v>
      </c>
      <c r="I968" t="s">
        <v>4288</v>
      </c>
    </row>
    <row r="969" spans="1:9" x14ac:dyDescent="0.35">
      <c r="A969" t="s">
        <v>4290</v>
      </c>
      <c r="B969" t="str">
        <f>"9780252093500"</f>
        <v>9780252093500</v>
      </c>
      <c r="C969" t="s">
        <v>4295</v>
      </c>
      <c r="D969" t="s">
        <v>4293</v>
      </c>
      <c r="E969" t="s">
        <v>4291</v>
      </c>
      <c r="F969" t="s">
        <v>4292</v>
      </c>
      <c r="H969" t="s">
        <v>82</v>
      </c>
      <c r="I969" t="s">
        <v>4294</v>
      </c>
    </row>
    <row r="970" spans="1:9" x14ac:dyDescent="0.35">
      <c r="A970" t="s">
        <v>4296</v>
      </c>
      <c r="B970" t="str">
        <f>"9780252090653"</f>
        <v>9780252090653</v>
      </c>
      <c r="C970" t="s">
        <v>4300</v>
      </c>
      <c r="D970" t="s">
        <v>4298</v>
      </c>
      <c r="E970" t="s">
        <v>4291</v>
      </c>
      <c r="F970" t="s">
        <v>4297</v>
      </c>
      <c r="H970" t="s">
        <v>201</v>
      </c>
      <c r="I970" t="s">
        <v>4299</v>
      </c>
    </row>
    <row r="971" spans="1:9" x14ac:dyDescent="0.35">
      <c r="A971" t="s">
        <v>4301</v>
      </c>
      <c r="B971" t="str">
        <f>"9780252092619"</f>
        <v>9780252092619</v>
      </c>
      <c r="C971" t="s">
        <v>4305</v>
      </c>
      <c r="D971" t="s">
        <v>4303</v>
      </c>
      <c r="E971" t="s">
        <v>4291</v>
      </c>
      <c r="F971" t="s">
        <v>4302</v>
      </c>
      <c r="H971" t="s">
        <v>2835</v>
      </c>
      <c r="I971" t="s">
        <v>4304</v>
      </c>
    </row>
    <row r="972" spans="1:9" x14ac:dyDescent="0.35">
      <c r="A972" t="s">
        <v>4306</v>
      </c>
      <c r="B972" t="str">
        <f>"9780252093609"</f>
        <v>9780252093609</v>
      </c>
      <c r="C972" t="s">
        <v>4309</v>
      </c>
      <c r="D972" t="s">
        <v>4307</v>
      </c>
      <c r="E972" t="s">
        <v>4291</v>
      </c>
      <c r="H972" t="s">
        <v>111</v>
      </c>
      <c r="I972" t="s">
        <v>4308</v>
      </c>
    </row>
    <row r="973" spans="1:9" x14ac:dyDescent="0.35">
      <c r="A973" t="s">
        <v>4310</v>
      </c>
      <c r="B973" t="str">
        <f>"9780252091254"</f>
        <v>9780252091254</v>
      </c>
      <c r="C973" t="s">
        <v>4313</v>
      </c>
      <c r="D973" t="s">
        <v>4311</v>
      </c>
      <c r="E973" t="s">
        <v>4291</v>
      </c>
      <c r="H973" t="s">
        <v>1283</v>
      </c>
      <c r="I973" t="s">
        <v>4312</v>
      </c>
    </row>
    <row r="974" spans="1:9" x14ac:dyDescent="0.35">
      <c r="A974" t="s">
        <v>4314</v>
      </c>
      <c r="B974" t="str">
        <f>"9780252092268"</f>
        <v>9780252092268</v>
      </c>
      <c r="C974" t="s">
        <v>4317</v>
      </c>
      <c r="D974" t="s">
        <v>4315</v>
      </c>
      <c r="E974" t="s">
        <v>4291</v>
      </c>
      <c r="H974" t="s">
        <v>29</v>
      </c>
      <c r="I974" t="s">
        <v>4316</v>
      </c>
    </row>
    <row r="975" spans="1:9" x14ac:dyDescent="0.35">
      <c r="A975" t="s">
        <v>4318</v>
      </c>
      <c r="B975" t="str">
        <f>"9780252091513"</f>
        <v>9780252091513</v>
      </c>
      <c r="C975" t="s">
        <v>4321</v>
      </c>
      <c r="D975" t="s">
        <v>4319</v>
      </c>
      <c r="E975" t="s">
        <v>4291</v>
      </c>
      <c r="F975" t="s">
        <v>4292</v>
      </c>
      <c r="H975" t="s">
        <v>82</v>
      </c>
      <c r="I975" t="s">
        <v>4320</v>
      </c>
    </row>
    <row r="976" spans="1:9" x14ac:dyDescent="0.35">
      <c r="A976" t="s">
        <v>4322</v>
      </c>
      <c r="B976" t="str">
        <f>"9780252091506"</f>
        <v>9780252091506</v>
      </c>
      <c r="C976" t="s">
        <v>4325</v>
      </c>
      <c r="D976" t="s">
        <v>4323</v>
      </c>
      <c r="E976" t="s">
        <v>4291</v>
      </c>
      <c r="H976" t="s">
        <v>29</v>
      </c>
      <c r="I976" t="s">
        <v>4324</v>
      </c>
    </row>
    <row r="977" spans="1:9" x14ac:dyDescent="0.35">
      <c r="A977" t="s">
        <v>4326</v>
      </c>
      <c r="B977" t="str">
        <f>"9780252091582"</f>
        <v>9780252091582</v>
      </c>
      <c r="C977" t="s">
        <v>4329</v>
      </c>
      <c r="D977" t="s">
        <v>4327</v>
      </c>
      <c r="E977" t="s">
        <v>4291</v>
      </c>
      <c r="H977" t="s">
        <v>233</v>
      </c>
      <c r="I977" t="s">
        <v>4328</v>
      </c>
    </row>
    <row r="978" spans="1:9" x14ac:dyDescent="0.35">
      <c r="A978" t="s">
        <v>4330</v>
      </c>
      <c r="B978" t="str">
        <f>"9780252094262"</f>
        <v>9780252094262</v>
      </c>
      <c r="C978" t="s">
        <v>4334</v>
      </c>
      <c r="D978" t="s">
        <v>4331</v>
      </c>
      <c r="E978" t="s">
        <v>4291</v>
      </c>
      <c r="H978" t="s">
        <v>4332</v>
      </c>
      <c r="I978" t="s">
        <v>4333</v>
      </c>
    </row>
    <row r="979" spans="1:9" x14ac:dyDescent="0.35">
      <c r="A979" t="s">
        <v>4335</v>
      </c>
      <c r="B979" t="str">
        <f>"9780252096228"</f>
        <v>9780252096228</v>
      </c>
      <c r="C979" t="s">
        <v>4338</v>
      </c>
      <c r="D979" t="s">
        <v>4336</v>
      </c>
      <c r="E979" t="s">
        <v>4291</v>
      </c>
      <c r="F979" t="s">
        <v>4292</v>
      </c>
      <c r="H979" t="s">
        <v>82</v>
      </c>
      <c r="I979" t="s">
        <v>4337</v>
      </c>
    </row>
    <row r="980" spans="1:9" x14ac:dyDescent="0.35">
      <c r="A980" t="s">
        <v>4339</v>
      </c>
      <c r="B980" t="str">
        <f>"9780252097027"</f>
        <v>9780252097027</v>
      </c>
      <c r="C980" t="s">
        <v>4342</v>
      </c>
      <c r="D980" t="s">
        <v>4340</v>
      </c>
      <c r="E980" t="s">
        <v>4291</v>
      </c>
      <c r="F980" t="s">
        <v>4292</v>
      </c>
      <c r="H980" t="s">
        <v>82</v>
      </c>
      <c r="I980" t="s">
        <v>4341</v>
      </c>
    </row>
    <row r="981" spans="1:9" x14ac:dyDescent="0.35">
      <c r="A981" t="s">
        <v>4343</v>
      </c>
      <c r="B981" t="str">
        <f>"9780472027880"</f>
        <v>9780472027880</v>
      </c>
      <c r="C981" t="s">
        <v>4347</v>
      </c>
      <c r="D981" t="s">
        <v>4345</v>
      </c>
      <c r="E981" t="s">
        <v>4344</v>
      </c>
      <c r="H981" t="s">
        <v>82</v>
      </c>
      <c r="I981" t="s">
        <v>4346</v>
      </c>
    </row>
    <row r="982" spans="1:9" x14ac:dyDescent="0.35">
      <c r="A982" t="s">
        <v>4348</v>
      </c>
      <c r="B982" t="str">
        <f>"9780870205187"</f>
        <v>9780870205187</v>
      </c>
      <c r="C982" t="s">
        <v>4352</v>
      </c>
      <c r="D982" t="s">
        <v>4350</v>
      </c>
      <c r="E982" t="s">
        <v>4349</v>
      </c>
      <c r="H982" t="s">
        <v>29</v>
      </c>
      <c r="I982" t="s">
        <v>4351</v>
      </c>
    </row>
    <row r="983" spans="1:9" x14ac:dyDescent="0.35">
      <c r="A983" t="s">
        <v>4353</v>
      </c>
      <c r="B983" t="str">
        <f>"9780870206825"</f>
        <v>9780870206825</v>
      </c>
      <c r="C983" t="s">
        <v>4356</v>
      </c>
      <c r="D983" t="s">
        <v>4354</v>
      </c>
      <c r="E983" t="s">
        <v>4349</v>
      </c>
      <c r="H983" t="s">
        <v>29</v>
      </c>
      <c r="I983" t="s">
        <v>4355</v>
      </c>
    </row>
    <row r="984" spans="1:9" x14ac:dyDescent="0.35">
      <c r="A984" t="s">
        <v>4357</v>
      </c>
      <c r="B984" t="str">
        <f>"9780300130737"</f>
        <v>9780300130737</v>
      </c>
      <c r="C984" t="s">
        <v>4361</v>
      </c>
      <c r="D984" t="s">
        <v>4359</v>
      </c>
      <c r="E984" t="s">
        <v>4358</v>
      </c>
      <c r="H984" t="s">
        <v>201</v>
      </c>
      <c r="I984" t="s">
        <v>4360</v>
      </c>
    </row>
    <row r="985" spans="1:9" x14ac:dyDescent="0.35">
      <c r="A985" t="s">
        <v>4362</v>
      </c>
      <c r="B985" t="str">
        <f>"9780300127676"</f>
        <v>9780300127676</v>
      </c>
      <c r="C985" t="s">
        <v>4365</v>
      </c>
      <c r="D985" t="s">
        <v>4363</v>
      </c>
      <c r="E985" t="s">
        <v>4358</v>
      </c>
      <c r="H985" t="s">
        <v>44</v>
      </c>
      <c r="I985" t="s">
        <v>4364</v>
      </c>
    </row>
    <row r="986" spans="1:9" x14ac:dyDescent="0.35">
      <c r="A986" t="s">
        <v>4366</v>
      </c>
      <c r="B986" t="str">
        <f>"9780300154900"</f>
        <v>9780300154900</v>
      </c>
      <c r="C986" t="s">
        <v>4369</v>
      </c>
      <c r="D986" t="s">
        <v>4367</v>
      </c>
      <c r="E986" t="s">
        <v>4358</v>
      </c>
      <c r="H986" t="s">
        <v>1283</v>
      </c>
      <c r="I986" t="s">
        <v>4368</v>
      </c>
    </row>
    <row r="987" spans="1:9" x14ac:dyDescent="0.35">
      <c r="A987" t="s">
        <v>4370</v>
      </c>
      <c r="B987" t="str">
        <f>"9780300150421"</f>
        <v>9780300150421</v>
      </c>
      <c r="C987" t="s">
        <v>4373</v>
      </c>
      <c r="D987" t="s">
        <v>4371</v>
      </c>
      <c r="E987" t="s">
        <v>4358</v>
      </c>
      <c r="H987" t="s">
        <v>29</v>
      </c>
      <c r="I987" t="s">
        <v>4372</v>
      </c>
    </row>
    <row r="988" spans="1:9" x14ac:dyDescent="0.35">
      <c r="A988" t="s">
        <v>4374</v>
      </c>
      <c r="B988" t="str">
        <f>"9780300156218"</f>
        <v>9780300156218</v>
      </c>
      <c r="C988" t="s">
        <v>4376</v>
      </c>
      <c r="D988" t="s">
        <v>4363</v>
      </c>
      <c r="E988" t="s">
        <v>4358</v>
      </c>
      <c r="H988" t="s">
        <v>29</v>
      </c>
      <c r="I988" t="s">
        <v>4375</v>
      </c>
    </row>
    <row r="989" spans="1:9" x14ac:dyDescent="0.35">
      <c r="A989" t="s">
        <v>4377</v>
      </c>
      <c r="B989" t="str">
        <f>"9780300142501"</f>
        <v>9780300142501</v>
      </c>
      <c r="C989" t="s">
        <v>4380</v>
      </c>
      <c r="D989" t="s">
        <v>4378</v>
      </c>
      <c r="E989" t="s">
        <v>4358</v>
      </c>
      <c r="H989" t="s">
        <v>140</v>
      </c>
      <c r="I989" t="s">
        <v>4379</v>
      </c>
    </row>
    <row r="990" spans="1:9" x14ac:dyDescent="0.35">
      <c r="A990" t="s">
        <v>4381</v>
      </c>
      <c r="B990" t="str">
        <f>"9780300145137"</f>
        <v>9780300145137</v>
      </c>
      <c r="C990" t="s">
        <v>4384</v>
      </c>
      <c r="D990" t="s">
        <v>4382</v>
      </c>
      <c r="E990" t="s">
        <v>4358</v>
      </c>
      <c r="H990" t="s">
        <v>29</v>
      </c>
      <c r="I990" t="s">
        <v>4383</v>
      </c>
    </row>
    <row r="991" spans="1:9" x14ac:dyDescent="0.35">
      <c r="A991" t="s">
        <v>4385</v>
      </c>
      <c r="B991" t="str">
        <f>"9780300153224"</f>
        <v>9780300153224</v>
      </c>
      <c r="C991" t="s">
        <v>4389</v>
      </c>
      <c r="D991" t="s">
        <v>4387</v>
      </c>
      <c r="E991" t="s">
        <v>4358</v>
      </c>
      <c r="F991" t="s">
        <v>4386</v>
      </c>
      <c r="H991" t="s">
        <v>111</v>
      </c>
      <c r="I991" t="s">
        <v>4388</v>
      </c>
    </row>
    <row r="992" spans="1:9" x14ac:dyDescent="0.35">
      <c r="A992" t="s">
        <v>4390</v>
      </c>
      <c r="B992" t="str">
        <f>"9780300162950"</f>
        <v>9780300162950</v>
      </c>
      <c r="C992" t="s">
        <v>4393</v>
      </c>
      <c r="D992" t="s">
        <v>2820</v>
      </c>
      <c r="E992" t="s">
        <v>4358</v>
      </c>
      <c r="F992" t="s">
        <v>4386</v>
      </c>
      <c r="H992" t="s">
        <v>4391</v>
      </c>
      <c r="I992" t="s">
        <v>4392</v>
      </c>
    </row>
    <row r="993" spans="1:9" x14ac:dyDescent="0.35">
      <c r="A993" t="s">
        <v>4394</v>
      </c>
      <c r="B993" t="str">
        <f>"9780300189001"</f>
        <v>9780300189001</v>
      </c>
      <c r="C993" t="s">
        <v>4399</v>
      </c>
      <c r="D993" t="s">
        <v>4397</v>
      </c>
      <c r="E993" t="s">
        <v>4395</v>
      </c>
      <c r="F993" t="s">
        <v>4396</v>
      </c>
      <c r="H993" t="s">
        <v>29</v>
      </c>
      <c r="I993" t="s">
        <v>4398</v>
      </c>
    </row>
    <row r="994" spans="1:9" x14ac:dyDescent="0.35">
      <c r="A994" t="s">
        <v>4400</v>
      </c>
      <c r="B994" t="str">
        <f>"9780300195194"</f>
        <v>9780300195194</v>
      </c>
      <c r="C994" t="s">
        <v>4403</v>
      </c>
      <c r="D994" t="s">
        <v>4401</v>
      </c>
      <c r="E994" t="s">
        <v>4358</v>
      </c>
      <c r="H994" t="s">
        <v>29</v>
      </c>
      <c r="I994" t="s">
        <v>4402</v>
      </c>
    </row>
    <row r="995" spans="1:9" x14ac:dyDescent="0.35">
      <c r="A995" t="s">
        <v>4404</v>
      </c>
      <c r="B995" t="str">
        <f>"9780300198898"</f>
        <v>9780300198898</v>
      </c>
      <c r="C995" t="s">
        <v>4408</v>
      </c>
      <c r="D995" t="s">
        <v>4406</v>
      </c>
      <c r="E995" t="s">
        <v>4358</v>
      </c>
      <c r="F995" t="s">
        <v>4405</v>
      </c>
      <c r="H995" t="s">
        <v>29</v>
      </c>
      <c r="I995" t="s">
        <v>4407</v>
      </c>
    </row>
    <row r="996" spans="1:9" x14ac:dyDescent="0.35">
      <c r="A996" t="s">
        <v>4409</v>
      </c>
      <c r="B996" t="str">
        <f>"9780801456480"</f>
        <v>9780801456480</v>
      </c>
      <c r="C996" t="s">
        <v>4412</v>
      </c>
      <c r="D996" t="s">
        <v>4410</v>
      </c>
      <c r="E996" t="s">
        <v>3390</v>
      </c>
      <c r="H996" t="s">
        <v>29</v>
      </c>
      <c r="I996" t="s">
        <v>4411</v>
      </c>
    </row>
    <row r="997" spans="1:9" x14ac:dyDescent="0.35">
      <c r="A997" t="s">
        <v>4413</v>
      </c>
      <c r="B997" t="str">
        <f>"9781609174576"</f>
        <v>9781609174576</v>
      </c>
      <c r="C997" t="s">
        <v>4416</v>
      </c>
      <c r="D997" t="s">
        <v>4414</v>
      </c>
      <c r="E997" t="s">
        <v>3640</v>
      </c>
      <c r="F997" t="s">
        <v>3641</v>
      </c>
      <c r="H997" t="s">
        <v>29</v>
      </c>
      <c r="I997" t="s">
        <v>4415</v>
      </c>
    </row>
    <row r="998" spans="1:9" x14ac:dyDescent="0.35">
      <c r="A998" t="s">
        <v>4417</v>
      </c>
      <c r="B998" t="str">
        <f>"9780815653189"</f>
        <v>9780815653189</v>
      </c>
      <c r="C998" t="s">
        <v>4420</v>
      </c>
      <c r="D998" t="s">
        <v>4418</v>
      </c>
      <c r="E998" t="s">
        <v>3863</v>
      </c>
      <c r="H998" t="s">
        <v>44</v>
      </c>
      <c r="I998" t="s">
        <v>4419</v>
      </c>
    </row>
    <row r="999" spans="1:9" x14ac:dyDescent="0.35">
      <c r="A999" t="s">
        <v>4421</v>
      </c>
      <c r="B999" t="str">
        <f>"9780816532209"</f>
        <v>9780816532209</v>
      </c>
      <c r="C999" t="s">
        <v>4424</v>
      </c>
      <c r="D999" t="s">
        <v>4422</v>
      </c>
      <c r="E999" t="s">
        <v>3875</v>
      </c>
      <c r="F999" t="s">
        <v>3907</v>
      </c>
      <c r="H999" t="s">
        <v>29</v>
      </c>
      <c r="I999" t="s">
        <v>4423</v>
      </c>
    </row>
    <row r="1000" spans="1:9" x14ac:dyDescent="0.35">
      <c r="A1000" t="s">
        <v>4425</v>
      </c>
      <c r="B1000" t="str">
        <f>"9780826272423"</f>
        <v>9780826272423</v>
      </c>
      <c r="C1000" t="s">
        <v>4429</v>
      </c>
      <c r="D1000" t="s">
        <v>4427</v>
      </c>
      <c r="E1000" t="s">
        <v>4426</v>
      </c>
      <c r="H1000" t="s">
        <v>29</v>
      </c>
      <c r="I1000" t="s">
        <v>4428</v>
      </c>
    </row>
    <row r="1001" spans="1:9" x14ac:dyDescent="0.35">
      <c r="A1001" t="s">
        <v>4430</v>
      </c>
      <c r="B1001" t="str">
        <f>"9780826272447"</f>
        <v>9780826272447</v>
      </c>
      <c r="C1001" t="s">
        <v>4434</v>
      </c>
      <c r="D1001" t="s">
        <v>4432</v>
      </c>
      <c r="E1001" t="s">
        <v>4426</v>
      </c>
      <c r="F1001" t="s">
        <v>4431</v>
      </c>
      <c r="H1001" t="s">
        <v>29</v>
      </c>
      <c r="I1001" t="s">
        <v>4433</v>
      </c>
    </row>
    <row r="1002" spans="1:9" x14ac:dyDescent="0.35">
      <c r="A1002" t="s">
        <v>4435</v>
      </c>
      <c r="B1002" t="str">
        <f>"9781921556456"</f>
        <v>9781921556456</v>
      </c>
      <c r="C1002" t="s">
        <v>4439</v>
      </c>
      <c r="D1002" t="s">
        <v>4437</v>
      </c>
      <c r="E1002" t="s">
        <v>4436</v>
      </c>
      <c r="H1002" t="s">
        <v>201</v>
      </c>
      <c r="I1002" t="s">
        <v>4438</v>
      </c>
    </row>
    <row r="1003" spans="1:9" x14ac:dyDescent="0.35">
      <c r="A1003" t="s">
        <v>4440</v>
      </c>
      <c r="B1003" t="str">
        <f>"9781922142443"</f>
        <v>9781922142443</v>
      </c>
      <c r="C1003" t="s">
        <v>4443</v>
      </c>
      <c r="D1003" t="s">
        <v>1350</v>
      </c>
      <c r="E1003" t="s">
        <v>4441</v>
      </c>
      <c r="H1003" t="s">
        <v>111</v>
      </c>
      <c r="I1003" t="s">
        <v>4442</v>
      </c>
    </row>
    <row r="1004" spans="1:9" x14ac:dyDescent="0.35">
      <c r="A1004" t="s">
        <v>4444</v>
      </c>
      <c r="B1004" t="str">
        <f>"9781922059604"</f>
        <v>9781922059604</v>
      </c>
      <c r="C1004" t="s">
        <v>4446</v>
      </c>
      <c r="D1004" t="s">
        <v>1903</v>
      </c>
      <c r="E1004" t="s">
        <v>1345</v>
      </c>
      <c r="H1004" t="s">
        <v>111</v>
      </c>
      <c r="I1004" t="s">
        <v>4445</v>
      </c>
    </row>
    <row r="1005" spans="1:9" x14ac:dyDescent="0.35">
      <c r="A1005" t="s">
        <v>4447</v>
      </c>
      <c r="B1005" t="str">
        <f>"9780268075668"</f>
        <v>9780268075668</v>
      </c>
      <c r="C1005" t="s">
        <v>4452</v>
      </c>
      <c r="D1005" t="s">
        <v>4450</v>
      </c>
      <c r="E1005" t="s">
        <v>4448</v>
      </c>
      <c r="F1005" t="s">
        <v>4449</v>
      </c>
      <c r="H1005" t="s">
        <v>82</v>
      </c>
      <c r="I1005" t="s">
        <v>4451</v>
      </c>
    </row>
    <row r="1006" spans="1:9" x14ac:dyDescent="0.35">
      <c r="A1006" t="s">
        <v>4453</v>
      </c>
      <c r="B1006" t="str">
        <f>"9780268077655"</f>
        <v>9780268077655</v>
      </c>
      <c r="C1006" t="s">
        <v>4457</v>
      </c>
      <c r="D1006" t="s">
        <v>4455</v>
      </c>
      <c r="E1006" t="s">
        <v>4448</v>
      </c>
      <c r="F1006" t="s">
        <v>4454</v>
      </c>
      <c r="H1006" t="s">
        <v>147</v>
      </c>
      <c r="I1006" t="s">
        <v>4456</v>
      </c>
    </row>
    <row r="1007" spans="1:9" x14ac:dyDescent="0.35">
      <c r="A1007" t="s">
        <v>4458</v>
      </c>
      <c r="B1007" t="str">
        <f>"9780268091729"</f>
        <v>9780268091729</v>
      </c>
      <c r="C1007" t="s">
        <v>4462</v>
      </c>
      <c r="D1007" t="s">
        <v>4460</v>
      </c>
      <c r="E1007" t="s">
        <v>4448</v>
      </c>
      <c r="F1007" t="s">
        <v>4459</v>
      </c>
      <c r="H1007" t="s">
        <v>29</v>
      </c>
      <c r="I1007" t="s">
        <v>4461</v>
      </c>
    </row>
    <row r="1008" spans="1:9" x14ac:dyDescent="0.35">
      <c r="A1008" t="s">
        <v>4463</v>
      </c>
      <c r="B1008" t="str">
        <f>"9780812201178"</f>
        <v>9780812201178</v>
      </c>
      <c r="C1008" t="s">
        <v>4467</v>
      </c>
      <c r="D1008" t="s">
        <v>4465</v>
      </c>
      <c r="E1008" t="s">
        <v>4464</v>
      </c>
      <c r="H1008" t="s">
        <v>111</v>
      </c>
      <c r="I1008" t="s">
        <v>4466</v>
      </c>
    </row>
    <row r="1009" spans="1:9" x14ac:dyDescent="0.35">
      <c r="A1009" t="s">
        <v>4468</v>
      </c>
      <c r="B1009" t="str">
        <f>"9780812201826"</f>
        <v>9780812201826</v>
      </c>
      <c r="C1009" t="s">
        <v>4472</v>
      </c>
      <c r="D1009" t="s">
        <v>4470</v>
      </c>
      <c r="E1009" t="s">
        <v>4464</v>
      </c>
      <c r="F1009" t="s">
        <v>4469</v>
      </c>
      <c r="H1009" t="s">
        <v>29</v>
      </c>
      <c r="I1009" t="s">
        <v>4471</v>
      </c>
    </row>
    <row r="1010" spans="1:9" x14ac:dyDescent="0.35">
      <c r="A1010" t="s">
        <v>4473</v>
      </c>
      <c r="B1010" t="str">
        <f>"9780812203080"</f>
        <v>9780812203080</v>
      </c>
      <c r="C1010" t="s">
        <v>4476</v>
      </c>
      <c r="D1010" t="s">
        <v>4474</v>
      </c>
      <c r="E1010" t="s">
        <v>4464</v>
      </c>
      <c r="F1010" t="s">
        <v>4469</v>
      </c>
      <c r="H1010" t="s">
        <v>1866</v>
      </c>
      <c r="I1010" t="s">
        <v>4475</v>
      </c>
    </row>
    <row r="1011" spans="1:9" x14ac:dyDescent="0.35">
      <c r="A1011" t="s">
        <v>4477</v>
      </c>
      <c r="B1011" t="str">
        <f>"9780812201994"</f>
        <v>9780812201994</v>
      </c>
      <c r="C1011" t="s">
        <v>4480</v>
      </c>
      <c r="D1011" t="s">
        <v>4478</v>
      </c>
      <c r="E1011" t="s">
        <v>4464</v>
      </c>
      <c r="F1011" t="s">
        <v>4469</v>
      </c>
      <c r="H1011" t="s">
        <v>29</v>
      </c>
      <c r="I1011" t="s">
        <v>4479</v>
      </c>
    </row>
    <row r="1012" spans="1:9" x14ac:dyDescent="0.35">
      <c r="A1012" t="s">
        <v>4481</v>
      </c>
      <c r="B1012" t="str">
        <f>"9780812202144"</f>
        <v>9780812202144</v>
      </c>
      <c r="C1012" t="s">
        <v>4484</v>
      </c>
      <c r="D1012" t="s">
        <v>4482</v>
      </c>
      <c r="E1012" t="s">
        <v>4464</v>
      </c>
      <c r="F1012" t="s">
        <v>4469</v>
      </c>
      <c r="H1012" t="s">
        <v>29</v>
      </c>
      <c r="I1012" t="s">
        <v>4483</v>
      </c>
    </row>
    <row r="1013" spans="1:9" x14ac:dyDescent="0.35">
      <c r="A1013" t="s">
        <v>4485</v>
      </c>
      <c r="B1013" t="str">
        <f>"9780812204827"</f>
        <v>9780812204827</v>
      </c>
      <c r="C1013" t="s">
        <v>4488</v>
      </c>
      <c r="D1013" t="s">
        <v>4486</v>
      </c>
      <c r="E1013" t="s">
        <v>4464</v>
      </c>
      <c r="H1013" t="s">
        <v>82</v>
      </c>
      <c r="I1013" t="s">
        <v>4487</v>
      </c>
    </row>
    <row r="1014" spans="1:9" x14ac:dyDescent="0.35">
      <c r="A1014" t="s">
        <v>4489</v>
      </c>
      <c r="B1014" t="str">
        <f>"9780812207088"</f>
        <v>9780812207088</v>
      </c>
      <c r="C1014" t="s">
        <v>4492</v>
      </c>
      <c r="D1014" t="s">
        <v>4490</v>
      </c>
      <c r="E1014" t="s">
        <v>4464</v>
      </c>
      <c r="F1014" t="s">
        <v>4469</v>
      </c>
      <c r="H1014" t="s">
        <v>29</v>
      </c>
      <c r="I1014" t="s">
        <v>4491</v>
      </c>
    </row>
    <row r="1015" spans="1:9" x14ac:dyDescent="0.35">
      <c r="A1015" t="s">
        <v>4493</v>
      </c>
      <c r="B1015" t="str">
        <f>"9780812200065"</f>
        <v>9780812200065</v>
      </c>
      <c r="C1015" t="s">
        <v>4496</v>
      </c>
      <c r="D1015" t="s">
        <v>4494</v>
      </c>
      <c r="E1015" t="s">
        <v>4464</v>
      </c>
      <c r="H1015" t="s">
        <v>23</v>
      </c>
      <c r="I1015" t="s">
        <v>4495</v>
      </c>
    </row>
    <row r="1016" spans="1:9" x14ac:dyDescent="0.35">
      <c r="A1016" t="s">
        <v>4497</v>
      </c>
      <c r="B1016" t="str">
        <f>"9780812203721"</f>
        <v>9780812203721</v>
      </c>
      <c r="C1016" t="s">
        <v>4501</v>
      </c>
      <c r="D1016" t="s">
        <v>4499</v>
      </c>
      <c r="E1016" t="s">
        <v>4464</v>
      </c>
      <c r="F1016" t="s">
        <v>4498</v>
      </c>
      <c r="H1016" t="s">
        <v>140</v>
      </c>
      <c r="I1016" t="s">
        <v>4500</v>
      </c>
    </row>
    <row r="1017" spans="1:9" x14ac:dyDescent="0.35">
      <c r="A1017" t="s">
        <v>4502</v>
      </c>
      <c r="B1017" t="str">
        <f>"9780812207057"</f>
        <v>9780812207057</v>
      </c>
      <c r="C1017" t="s">
        <v>4506</v>
      </c>
      <c r="D1017" t="s">
        <v>4504</v>
      </c>
      <c r="E1017" t="s">
        <v>4464</v>
      </c>
      <c r="F1017" t="s">
        <v>4503</v>
      </c>
      <c r="H1017" t="s">
        <v>87</v>
      </c>
      <c r="I1017" t="s">
        <v>4505</v>
      </c>
    </row>
    <row r="1018" spans="1:9" x14ac:dyDescent="0.35">
      <c r="A1018" t="s">
        <v>4507</v>
      </c>
      <c r="B1018" t="str">
        <f>"9780812207156"</f>
        <v>9780812207156</v>
      </c>
      <c r="C1018" t="s">
        <v>4510</v>
      </c>
      <c r="D1018" t="s">
        <v>4508</v>
      </c>
      <c r="E1018" t="s">
        <v>4464</v>
      </c>
      <c r="F1018" t="s">
        <v>4469</v>
      </c>
      <c r="H1018" t="s">
        <v>29</v>
      </c>
      <c r="I1018" t="s">
        <v>4509</v>
      </c>
    </row>
    <row r="1019" spans="1:9" x14ac:dyDescent="0.35">
      <c r="A1019" t="s">
        <v>4511</v>
      </c>
      <c r="B1019" t="str">
        <f>"9780812207040"</f>
        <v>9780812207040</v>
      </c>
      <c r="C1019" t="s">
        <v>4514</v>
      </c>
      <c r="D1019" t="s">
        <v>4512</v>
      </c>
      <c r="E1019" t="s">
        <v>4464</v>
      </c>
      <c r="F1019" t="s">
        <v>4469</v>
      </c>
      <c r="H1019" t="s">
        <v>1866</v>
      </c>
      <c r="I1019" t="s">
        <v>4513</v>
      </c>
    </row>
    <row r="1020" spans="1:9" x14ac:dyDescent="0.35">
      <c r="A1020" t="s">
        <v>4515</v>
      </c>
      <c r="B1020" t="str">
        <f>"9780812208511"</f>
        <v>9780812208511</v>
      </c>
      <c r="C1020" t="s">
        <v>4518</v>
      </c>
      <c r="D1020" t="s">
        <v>4516</v>
      </c>
      <c r="E1020" t="s">
        <v>4464</v>
      </c>
      <c r="F1020" t="s">
        <v>4469</v>
      </c>
      <c r="H1020" t="s">
        <v>29</v>
      </c>
      <c r="I1020" t="s">
        <v>4517</v>
      </c>
    </row>
    <row r="1021" spans="1:9" x14ac:dyDescent="0.35">
      <c r="A1021" t="s">
        <v>4519</v>
      </c>
      <c r="B1021" t="str">
        <f>"9780812205176"</f>
        <v>9780812205176</v>
      </c>
      <c r="C1021" t="s">
        <v>4522</v>
      </c>
      <c r="D1021" t="s">
        <v>4520</v>
      </c>
      <c r="E1021" t="s">
        <v>4464</v>
      </c>
      <c r="F1021" t="s">
        <v>4469</v>
      </c>
      <c r="H1021" t="s">
        <v>29</v>
      </c>
      <c r="I1021" t="s">
        <v>4521</v>
      </c>
    </row>
    <row r="1022" spans="1:9" x14ac:dyDescent="0.35">
      <c r="A1022" t="s">
        <v>4523</v>
      </c>
      <c r="B1022" t="str">
        <f>"9780812206036"</f>
        <v>9780812206036</v>
      </c>
      <c r="C1022" t="s">
        <v>4527</v>
      </c>
      <c r="D1022" t="s">
        <v>4525</v>
      </c>
      <c r="E1022" t="s">
        <v>4464</v>
      </c>
      <c r="F1022" t="s">
        <v>4524</v>
      </c>
      <c r="H1022" t="s">
        <v>1296</v>
      </c>
      <c r="I1022" t="s">
        <v>4526</v>
      </c>
    </row>
    <row r="1023" spans="1:9" x14ac:dyDescent="0.35">
      <c r="A1023" t="s">
        <v>4528</v>
      </c>
      <c r="B1023" t="str">
        <f>"9780812202809"</f>
        <v>9780812202809</v>
      </c>
      <c r="C1023" t="s">
        <v>4531</v>
      </c>
      <c r="D1023" t="s">
        <v>4529</v>
      </c>
      <c r="E1023" t="s">
        <v>4464</v>
      </c>
      <c r="F1023" t="s">
        <v>4469</v>
      </c>
      <c r="H1023" t="s">
        <v>29</v>
      </c>
      <c r="I1023" t="s">
        <v>4530</v>
      </c>
    </row>
    <row r="1024" spans="1:9" x14ac:dyDescent="0.35">
      <c r="A1024" t="s">
        <v>4532</v>
      </c>
      <c r="B1024" t="str">
        <f>"9780812207170"</f>
        <v>9780812207170</v>
      </c>
      <c r="C1024" t="s">
        <v>4535</v>
      </c>
      <c r="D1024" t="s">
        <v>4533</v>
      </c>
      <c r="E1024" t="s">
        <v>4464</v>
      </c>
      <c r="F1024" t="s">
        <v>4469</v>
      </c>
      <c r="H1024" t="s">
        <v>29</v>
      </c>
      <c r="I1024" t="s">
        <v>4534</v>
      </c>
    </row>
    <row r="1025" spans="1:9" x14ac:dyDescent="0.35">
      <c r="A1025" t="s">
        <v>4536</v>
      </c>
      <c r="B1025" t="str">
        <f>"9780812202878"</f>
        <v>9780812202878</v>
      </c>
      <c r="C1025" t="s">
        <v>4539</v>
      </c>
      <c r="D1025" t="s">
        <v>4537</v>
      </c>
      <c r="E1025" t="s">
        <v>4464</v>
      </c>
      <c r="H1025" t="s">
        <v>87</v>
      </c>
      <c r="I1025" t="s">
        <v>4538</v>
      </c>
    </row>
    <row r="1026" spans="1:9" x14ac:dyDescent="0.35">
      <c r="A1026" t="s">
        <v>4540</v>
      </c>
      <c r="B1026" t="str">
        <f>"9780812202649"</f>
        <v>9780812202649</v>
      </c>
      <c r="C1026" t="s">
        <v>4543</v>
      </c>
      <c r="D1026" t="s">
        <v>4541</v>
      </c>
      <c r="E1026" t="s">
        <v>4464</v>
      </c>
      <c r="F1026" t="s">
        <v>4469</v>
      </c>
      <c r="H1026" t="s">
        <v>29</v>
      </c>
      <c r="I1026" t="s">
        <v>4542</v>
      </c>
    </row>
    <row r="1027" spans="1:9" x14ac:dyDescent="0.35">
      <c r="A1027" t="s">
        <v>4544</v>
      </c>
      <c r="B1027" t="str">
        <f>"9780812203790"</f>
        <v>9780812203790</v>
      </c>
      <c r="C1027" t="s">
        <v>4547</v>
      </c>
      <c r="D1027" t="s">
        <v>4545</v>
      </c>
      <c r="E1027" t="s">
        <v>4464</v>
      </c>
      <c r="F1027" t="s">
        <v>4469</v>
      </c>
      <c r="H1027" t="s">
        <v>29</v>
      </c>
      <c r="I1027" t="s">
        <v>4546</v>
      </c>
    </row>
    <row r="1028" spans="1:9" x14ac:dyDescent="0.35">
      <c r="A1028" t="s">
        <v>4548</v>
      </c>
      <c r="B1028" t="str">
        <f>"9780812203417"</f>
        <v>9780812203417</v>
      </c>
      <c r="C1028" t="s">
        <v>4551</v>
      </c>
      <c r="D1028" t="s">
        <v>4549</v>
      </c>
      <c r="E1028" t="s">
        <v>4464</v>
      </c>
      <c r="F1028" t="s">
        <v>4469</v>
      </c>
      <c r="H1028" t="s">
        <v>29</v>
      </c>
      <c r="I1028" t="s">
        <v>4550</v>
      </c>
    </row>
    <row r="1029" spans="1:9" x14ac:dyDescent="0.35">
      <c r="A1029" t="s">
        <v>4552</v>
      </c>
      <c r="B1029" t="str">
        <f>"9780812203677"</f>
        <v>9780812203677</v>
      </c>
      <c r="C1029" t="s">
        <v>4555</v>
      </c>
      <c r="D1029" t="s">
        <v>4553</v>
      </c>
      <c r="E1029" t="s">
        <v>4464</v>
      </c>
      <c r="H1029" t="s">
        <v>265</v>
      </c>
      <c r="I1029" t="s">
        <v>4554</v>
      </c>
    </row>
    <row r="1030" spans="1:9" x14ac:dyDescent="0.35">
      <c r="A1030" t="s">
        <v>4556</v>
      </c>
      <c r="B1030" t="str">
        <f>"9780812208306"</f>
        <v>9780812208306</v>
      </c>
      <c r="C1030" t="s">
        <v>4559</v>
      </c>
      <c r="D1030" t="s">
        <v>4557</v>
      </c>
      <c r="E1030" t="s">
        <v>4464</v>
      </c>
      <c r="H1030" t="s">
        <v>29</v>
      </c>
      <c r="I1030" t="s">
        <v>4558</v>
      </c>
    </row>
    <row r="1031" spans="1:9" x14ac:dyDescent="0.35">
      <c r="A1031" t="s">
        <v>4560</v>
      </c>
      <c r="B1031" t="str">
        <f>"9781934536636"</f>
        <v>9781934536636</v>
      </c>
      <c r="C1031" t="s">
        <v>4564</v>
      </c>
      <c r="D1031" t="s">
        <v>4562</v>
      </c>
      <c r="E1031" t="s">
        <v>4561</v>
      </c>
      <c r="H1031" t="s">
        <v>29</v>
      </c>
      <c r="I1031" t="s">
        <v>4563</v>
      </c>
    </row>
    <row r="1032" spans="1:9" x14ac:dyDescent="0.35">
      <c r="A1032" t="s">
        <v>4565</v>
      </c>
      <c r="B1032" t="str">
        <f>"9781934536414"</f>
        <v>9781934536414</v>
      </c>
      <c r="C1032" t="s">
        <v>4568</v>
      </c>
      <c r="D1032" t="s">
        <v>4566</v>
      </c>
      <c r="E1032" t="s">
        <v>4561</v>
      </c>
      <c r="H1032" t="s">
        <v>29</v>
      </c>
      <c r="I1032" t="s">
        <v>4567</v>
      </c>
    </row>
    <row r="1033" spans="1:9" x14ac:dyDescent="0.35">
      <c r="A1033" t="s">
        <v>4569</v>
      </c>
      <c r="B1033" t="str">
        <f>"9780812290172"</f>
        <v>9780812290172</v>
      </c>
      <c r="C1033" t="s">
        <v>4572</v>
      </c>
      <c r="D1033" t="s">
        <v>4570</v>
      </c>
      <c r="E1033" t="s">
        <v>4464</v>
      </c>
      <c r="H1033" t="s">
        <v>265</v>
      </c>
      <c r="I1033" t="s">
        <v>4571</v>
      </c>
    </row>
    <row r="1034" spans="1:9" x14ac:dyDescent="0.35">
      <c r="A1034" t="s">
        <v>4573</v>
      </c>
      <c r="B1034" t="str">
        <f>"9780812203295"</f>
        <v>9780812203295</v>
      </c>
      <c r="C1034" t="s">
        <v>4576</v>
      </c>
      <c r="D1034" t="s">
        <v>4574</v>
      </c>
      <c r="E1034" t="s">
        <v>4464</v>
      </c>
      <c r="F1034" t="s">
        <v>4469</v>
      </c>
      <c r="H1034" t="s">
        <v>29</v>
      </c>
      <c r="I1034" t="s">
        <v>4575</v>
      </c>
    </row>
    <row r="1035" spans="1:9" x14ac:dyDescent="0.35">
      <c r="A1035" t="s">
        <v>4577</v>
      </c>
      <c r="B1035" t="str">
        <f>"9780812209334"</f>
        <v>9780812209334</v>
      </c>
      <c r="C1035" t="s">
        <v>4580</v>
      </c>
      <c r="D1035" t="s">
        <v>4578</v>
      </c>
      <c r="E1035" t="s">
        <v>4464</v>
      </c>
      <c r="F1035" t="s">
        <v>4469</v>
      </c>
      <c r="H1035" t="s">
        <v>29</v>
      </c>
      <c r="I1035" t="s">
        <v>4579</v>
      </c>
    </row>
    <row r="1036" spans="1:9" x14ac:dyDescent="0.35">
      <c r="A1036" t="s">
        <v>4581</v>
      </c>
      <c r="B1036" t="str">
        <f>"9780812209433"</f>
        <v>9780812209433</v>
      </c>
      <c r="C1036" t="s">
        <v>4584</v>
      </c>
      <c r="D1036" t="s">
        <v>4582</v>
      </c>
      <c r="E1036" t="s">
        <v>4464</v>
      </c>
      <c r="F1036" t="s">
        <v>4503</v>
      </c>
      <c r="H1036" t="s">
        <v>29</v>
      </c>
      <c r="I1036" t="s">
        <v>4583</v>
      </c>
    </row>
    <row r="1037" spans="1:9" x14ac:dyDescent="0.35">
      <c r="A1037" t="s">
        <v>4585</v>
      </c>
      <c r="B1037" t="str">
        <f>"9780812290196"</f>
        <v>9780812290196</v>
      </c>
      <c r="C1037" t="s">
        <v>4588</v>
      </c>
      <c r="D1037" t="s">
        <v>4586</v>
      </c>
      <c r="E1037" t="s">
        <v>4464</v>
      </c>
      <c r="F1037" t="s">
        <v>4469</v>
      </c>
      <c r="H1037" t="s">
        <v>29</v>
      </c>
      <c r="I1037" t="s">
        <v>4587</v>
      </c>
    </row>
    <row r="1038" spans="1:9" x14ac:dyDescent="0.35">
      <c r="A1038" t="s">
        <v>4589</v>
      </c>
      <c r="B1038" t="str">
        <f>"9780874216677"</f>
        <v>9780874216677</v>
      </c>
      <c r="C1038" t="s">
        <v>4593</v>
      </c>
      <c r="D1038" t="s">
        <v>4591</v>
      </c>
      <c r="E1038" t="s">
        <v>4590</v>
      </c>
      <c r="H1038" t="s">
        <v>29</v>
      </c>
      <c r="I1038" t="s">
        <v>4592</v>
      </c>
    </row>
    <row r="1039" spans="1:9" x14ac:dyDescent="0.35">
      <c r="A1039" t="s">
        <v>4594</v>
      </c>
      <c r="B1039" t="str">
        <f>"9780874218541"</f>
        <v>9780874218541</v>
      </c>
      <c r="C1039" t="s">
        <v>4597</v>
      </c>
      <c r="D1039" t="s">
        <v>4595</v>
      </c>
      <c r="E1039" t="s">
        <v>4590</v>
      </c>
      <c r="H1039" t="s">
        <v>29</v>
      </c>
      <c r="I1039" t="s">
        <v>4596</v>
      </c>
    </row>
    <row r="1040" spans="1:9" x14ac:dyDescent="0.35">
      <c r="A1040" t="s">
        <v>4598</v>
      </c>
      <c r="B1040" t="str">
        <f>"9780874217551"</f>
        <v>9780874217551</v>
      </c>
      <c r="C1040" t="s">
        <v>4601</v>
      </c>
      <c r="D1040" t="s">
        <v>4599</v>
      </c>
      <c r="E1040" t="s">
        <v>4590</v>
      </c>
      <c r="H1040" t="s">
        <v>82</v>
      </c>
      <c r="I1040" t="s">
        <v>4600</v>
      </c>
    </row>
    <row r="1041" spans="1:9" x14ac:dyDescent="0.35">
      <c r="A1041" t="s">
        <v>4602</v>
      </c>
      <c r="B1041" t="str">
        <f>"9780292795976"</f>
        <v>9780292795976</v>
      </c>
      <c r="C1041" t="s">
        <v>4606</v>
      </c>
      <c r="D1041" t="s">
        <v>4604</v>
      </c>
      <c r="E1041" t="s">
        <v>4603</v>
      </c>
      <c r="H1041" t="s">
        <v>265</v>
      </c>
      <c r="I1041" t="s">
        <v>4605</v>
      </c>
    </row>
    <row r="1042" spans="1:9" x14ac:dyDescent="0.35">
      <c r="A1042" t="s">
        <v>4607</v>
      </c>
      <c r="B1042" t="str">
        <f>"9780292796850"</f>
        <v>9780292796850</v>
      </c>
      <c r="C1042" t="s">
        <v>4610</v>
      </c>
      <c r="D1042" t="s">
        <v>4608</v>
      </c>
      <c r="E1042" t="s">
        <v>4603</v>
      </c>
      <c r="H1042" t="s">
        <v>201</v>
      </c>
      <c r="I1042" t="s">
        <v>4609</v>
      </c>
    </row>
    <row r="1043" spans="1:9" x14ac:dyDescent="0.35">
      <c r="A1043" t="s">
        <v>4611</v>
      </c>
      <c r="B1043" t="str">
        <f>"9780292795372"</f>
        <v>9780292795372</v>
      </c>
      <c r="C1043" t="s">
        <v>4614</v>
      </c>
      <c r="D1043" t="s">
        <v>4612</v>
      </c>
      <c r="E1043" t="s">
        <v>4603</v>
      </c>
      <c r="H1043" t="s">
        <v>1283</v>
      </c>
      <c r="I1043" t="s">
        <v>4613</v>
      </c>
    </row>
    <row r="1044" spans="1:9" x14ac:dyDescent="0.35">
      <c r="A1044" t="s">
        <v>4615</v>
      </c>
      <c r="B1044" t="str">
        <f>"9780292796737"</f>
        <v>9780292796737</v>
      </c>
      <c r="C1044" t="s">
        <v>4618</v>
      </c>
      <c r="D1044" t="s">
        <v>4616</v>
      </c>
      <c r="E1044" t="s">
        <v>4603</v>
      </c>
      <c r="H1044" t="s">
        <v>265</v>
      </c>
      <c r="I1044" t="s">
        <v>4617</v>
      </c>
    </row>
    <row r="1045" spans="1:9" x14ac:dyDescent="0.35">
      <c r="A1045" t="s">
        <v>4619</v>
      </c>
      <c r="B1045" t="str">
        <f>"9780292795839"</f>
        <v>9780292795839</v>
      </c>
      <c r="C1045" t="s">
        <v>4622</v>
      </c>
      <c r="D1045" t="s">
        <v>4620</v>
      </c>
      <c r="E1045" t="s">
        <v>4603</v>
      </c>
      <c r="H1045" t="s">
        <v>82</v>
      </c>
      <c r="I1045" t="s">
        <v>4621</v>
      </c>
    </row>
    <row r="1046" spans="1:9" x14ac:dyDescent="0.35">
      <c r="A1046" t="s">
        <v>4623</v>
      </c>
      <c r="B1046" t="str">
        <f>"9780292795389"</f>
        <v>9780292795389</v>
      </c>
      <c r="C1046" t="s">
        <v>4626</v>
      </c>
      <c r="D1046" t="s">
        <v>4624</v>
      </c>
      <c r="E1046" t="s">
        <v>4603</v>
      </c>
      <c r="H1046" t="s">
        <v>2507</v>
      </c>
      <c r="I1046" t="s">
        <v>4625</v>
      </c>
    </row>
    <row r="1047" spans="1:9" x14ac:dyDescent="0.35">
      <c r="A1047" t="s">
        <v>4627</v>
      </c>
      <c r="B1047" t="str">
        <f>"9780292797000"</f>
        <v>9780292797000</v>
      </c>
      <c r="C1047" t="s">
        <v>4630</v>
      </c>
      <c r="D1047" t="s">
        <v>4628</v>
      </c>
      <c r="E1047" t="s">
        <v>4603</v>
      </c>
      <c r="H1047" t="s">
        <v>140</v>
      </c>
      <c r="I1047" t="s">
        <v>4629</v>
      </c>
    </row>
    <row r="1048" spans="1:9" x14ac:dyDescent="0.35">
      <c r="A1048" t="s">
        <v>4631</v>
      </c>
      <c r="B1048" t="str">
        <f>"9780292795846"</f>
        <v>9780292795846</v>
      </c>
      <c r="C1048" t="s">
        <v>4634</v>
      </c>
      <c r="D1048" t="s">
        <v>4632</v>
      </c>
      <c r="E1048" t="s">
        <v>4603</v>
      </c>
      <c r="H1048" t="s">
        <v>233</v>
      </c>
      <c r="I1048" t="s">
        <v>4633</v>
      </c>
    </row>
    <row r="1049" spans="1:9" x14ac:dyDescent="0.35">
      <c r="A1049" t="s">
        <v>4635</v>
      </c>
      <c r="B1049" t="str">
        <f>"9780292795679"</f>
        <v>9780292795679</v>
      </c>
      <c r="C1049" t="s">
        <v>4638</v>
      </c>
      <c r="D1049" t="s">
        <v>4636</v>
      </c>
      <c r="E1049" t="s">
        <v>4603</v>
      </c>
      <c r="H1049" t="s">
        <v>265</v>
      </c>
      <c r="I1049" t="s">
        <v>4637</v>
      </c>
    </row>
    <row r="1050" spans="1:9" x14ac:dyDescent="0.35">
      <c r="A1050" t="s">
        <v>4639</v>
      </c>
      <c r="B1050" t="str">
        <f>"9780292795853"</f>
        <v>9780292795853</v>
      </c>
      <c r="C1050" t="s">
        <v>4642</v>
      </c>
      <c r="D1050" t="s">
        <v>4640</v>
      </c>
      <c r="E1050" t="s">
        <v>4603</v>
      </c>
      <c r="H1050" t="s">
        <v>82</v>
      </c>
      <c r="I1050" t="s">
        <v>4641</v>
      </c>
    </row>
    <row r="1051" spans="1:9" x14ac:dyDescent="0.35">
      <c r="A1051" t="s">
        <v>4643</v>
      </c>
      <c r="B1051" t="str">
        <f>"9780292796140"</f>
        <v>9780292796140</v>
      </c>
      <c r="C1051" t="s">
        <v>4646</v>
      </c>
      <c r="D1051" t="s">
        <v>4644</v>
      </c>
      <c r="E1051" t="s">
        <v>4603</v>
      </c>
      <c r="H1051" t="s">
        <v>82</v>
      </c>
      <c r="I1051" t="s">
        <v>4645</v>
      </c>
    </row>
    <row r="1052" spans="1:9" x14ac:dyDescent="0.35">
      <c r="A1052" t="s">
        <v>4647</v>
      </c>
      <c r="B1052" t="str">
        <f>"9780292795815"</f>
        <v>9780292795815</v>
      </c>
      <c r="C1052" t="s">
        <v>4650</v>
      </c>
      <c r="D1052" t="s">
        <v>4648</v>
      </c>
      <c r="E1052" t="s">
        <v>4603</v>
      </c>
      <c r="H1052" t="s">
        <v>1866</v>
      </c>
      <c r="I1052" t="s">
        <v>4649</v>
      </c>
    </row>
    <row r="1053" spans="1:9" x14ac:dyDescent="0.35">
      <c r="A1053" t="s">
        <v>4651</v>
      </c>
      <c r="B1053" t="str">
        <f>"9780292797055"</f>
        <v>9780292797055</v>
      </c>
      <c r="C1053" t="s">
        <v>4654</v>
      </c>
      <c r="D1053" t="s">
        <v>4652</v>
      </c>
      <c r="E1053" t="s">
        <v>4603</v>
      </c>
      <c r="H1053" t="s">
        <v>82</v>
      </c>
      <c r="I1053" t="s">
        <v>4653</v>
      </c>
    </row>
    <row r="1054" spans="1:9" x14ac:dyDescent="0.35">
      <c r="A1054" t="s">
        <v>4655</v>
      </c>
      <c r="B1054" t="str">
        <f>"9780292796683"</f>
        <v>9780292796683</v>
      </c>
      <c r="C1054" t="s">
        <v>4658</v>
      </c>
      <c r="D1054" t="s">
        <v>4656</v>
      </c>
      <c r="E1054" t="s">
        <v>4603</v>
      </c>
      <c r="H1054" t="s">
        <v>29</v>
      </c>
      <c r="I1054" t="s">
        <v>4657</v>
      </c>
    </row>
    <row r="1055" spans="1:9" x14ac:dyDescent="0.35">
      <c r="A1055" t="s">
        <v>4659</v>
      </c>
      <c r="B1055" t="str">
        <f>"9780292794887"</f>
        <v>9780292794887</v>
      </c>
      <c r="C1055" t="s">
        <v>4662</v>
      </c>
      <c r="D1055" t="s">
        <v>4660</v>
      </c>
      <c r="E1055" t="s">
        <v>4603</v>
      </c>
      <c r="H1055" t="s">
        <v>29</v>
      </c>
      <c r="I1055" t="s">
        <v>4661</v>
      </c>
    </row>
    <row r="1056" spans="1:9" x14ac:dyDescent="0.35">
      <c r="A1056" t="s">
        <v>4663</v>
      </c>
      <c r="B1056" t="str">
        <f>"9780292794429"</f>
        <v>9780292794429</v>
      </c>
      <c r="C1056" t="s">
        <v>4666</v>
      </c>
      <c r="D1056" t="s">
        <v>4664</v>
      </c>
      <c r="E1056" t="s">
        <v>4603</v>
      </c>
      <c r="H1056" t="s">
        <v>192</v>
      </c>
      <c r="I1056" t="s">
        <v>4665</v>
      </c>
    </row>
    <row r="1057" spans="1:9" x14ac:dyDescent="0.35">
      <c r="A1057" t="s">
        <v>4667</v>
      </c>
      <c r="B1057" t="str">
        <f>"9780292796171"</f>
        <v>9780292796171</v>
      </c>
      <c r="C1057" t="s">
        <v>4670</v>
      </c>
      <c r="D1057" t="s">
        <v>4668</v>
      </c>
      <c r="E1057" t="s">
        <v>4603</v>
      </c>
      <c r="H1057" t="s">
        <v>29</v>
      </c>
      <c r="I1057" t="s">
        <v>4669</v>
      </c>
    </row>
    <row r="1058" spans="1:9" x14ac:dyDescent="0.35">
      <c r="A1058" t="s">
        <v>4671</v>
      </c>
      <c r="B1058" t="str">
        <f>"9780292795471"</f>
        <v>9780292795471</v>
      </c>
      <c r="C1058" t="s">
        <v>4674</v>
      </c>
      <c r="D1058" t="s">
        <v>4672</v>
      </c>
      <c r="E1058" t="s">
        <v>4603</v>
      </c>
      <c r="H1058" t="s">
        <v>430</v>
      </c>
      <c r="I1058" t="s">
        <v>4673</v>
      </c>
    </row>
    <row r="1059" spans="1:9" x14ac:dyDescent="0.35">
      <c r="A1059" t="s">
        <v>4675</v>
      </c>
      <c r="B1059" t="str">
        <f>"9780292795433"</f>
        <v>9780292795433</v>
      </c>
      <c r="C1059" t="s">
        <v>4678</v>
      </c>
      <c r="D1059" t="s">
        <v>4676</v>
      </c>
      <c r="E1059" t="s">
        <v>4603</v>
      </c>
      <c r="H1059" t="s">
        <v>29</v>
      </c>
      <c r="I1059" t="s">
        <v>4677</v>
      </c>
    </row>
    <row r="1060" spans="1:9" x14ac:dyDescent="0.35">
      <c r="A1060" t="s">
        <v>4679</v>
      </c>
      <c r="B1060" t="str">
        <f>"9780292795266"</f>
        <v>9780292795266</v>
      </c>
      <c r="C1060" t="s">
        <v>4682</v>
      </c>
      <c r="D1060" t="s">
        <v>4680</v>
      </c>
      <c r="E1060" t="s">
        <v>4603</v>
      </c>
      <c r="H1060" t="s">
        <v>49</v>
      </c>
      <c r="I1060" t="s">
        <v>4681</v>
      </c>
    </row>
    <row r="1061" spans="1:9" x14ac:dyDescent="0.35">
      <c r="A1061" t="s">
        <v>4683</v>
      </c>
      <c r="B1061" t="str">
        <f>"9780292794405"</f>
        <v>9780292794405</v>
      </c>
      <c r="C1061" t="s">
        <v>4686</v>
      </c>
      <c r="D1061" t="s">
        <v>4684</v>
      </c>
      <c r="E1061" t="s">
        <v>4603</v>
      </c>
      <c r="H1061" t="s">
        <v>82</v>
      </c>
      <c r="I1061" t="s">
        <v>4685</v>
      </c>
    </row>
    <row r="1062" spans="1:9" x14ac:dyDescent="0.35">
      <c r="A1062" t="s">
        <v>4687</v>
      </c>
      <c r="B1062" t="str">
        <f>"9780292794610"</f>
        <v>9780292794610</v>
      </c>
      <c r="C1062" t="s">
        <v>4690</v>
      </c>
      <c r="D1062" t="s">
        <v>4688</v>
      </c>
      <c r="E1062" t="s">
        <v>4603</v>
      </c>
      <c r="H1062" t="s">
        <v>29</v>
      </c>
      <c r="I1062" t="s">
        <v>4689</v>
      </c>
    </row>
    <row r="1063" spans="1:9" x14ac:dyDescent="0.35">
      <c r="A1063" t="s">
        <v>4691</v>
      </c>
      <c r="B1063" t="str">
        <f>"9780292795051"</f>
        <v>9780292795051</v>
      </c>
      <c r="C1063" t="s">
        <v>4694</v>
      </c>
      <c r="D1063" t="s">
        <v>4692</v>
      </c>
      <c r="E1063" t="s">
        <v>4603</v>
      </c>
      <c r="H1063" t="s">
        <v>17</v>
      </c>
      <c r="I1063" t="s">
        <v>4693</v>
      </c>
    </row>
    <row r="1064" spans="1:9" x14ac:dyDescent="0.35">
      <c r="A1064" t="s">
        <v>4695</v>
      </c>
      <c r="B1064" t="str">
        <f>"9780292795037"</f>
        <v>9780292795037</v>
      </c>
      <c r="C1064" t="s">
        <v>4698</v>
      </c>
      <c r="D1064" t="s">
        <v>3316</v>
      </c>
      <c r="E1064" t="s">
        <v>4603</v>
      </c>
      <c r="H1064" t="s">
        <v>4696</v>
      </c>
      <c r="I1064" t="s">
        <v>4697</v>
      </c>
    </row>
    <row r="1065" spans="1:9" x14ac:dyDescent="0.35">
      <c r="A1065" t="s">
        <v>4699</v>
      </c>
      <c r="B1065" t="str">
        <f>"9780292793866"</f>
        <v>9780292793866</v>
      </c>
      <c r="C1065" t="s">
        <v>4702</v>
      </c>
      <c r="D1065" t="s">
        <v>4700</v>
      </c>
      <c r="E1065" t="s">
        <v>4603</v>
      </c>
      <c r="H1065" t="s">
        <v>29</v>
      </c>
      <c r="I1065" t="s">
        <v>4701</v>
      </c>
    </row>
    <row r="1066" spans="1:9" x14ac:dyDescent="0.35">
      <c r="A1066" t="s">
        <v>4703</v>
      </c>
      <c r="B1066" t="str">
        <f>"9780292793934"</f>
        <v>9780292793934</v>
      </c>
      <c r="C1066" t="s">
        <v>4706</v>
      </c>
      <c r="D1066" t="s">
        <v>4704</v>
      </c>
      <c r="E1066" t="s">
        <v>4603</v>
      </c>
      <c r="H1066" t="s">
        <v>201</v>
      </c>
      <c r="I1066" t="s">
        <v>4705</v>
      </c>
    </row>
    <row r="1067" spans="1:9" x14ac:dyDescent="0.35">
      <c r="A1067" t="s">
        <v>4707</v>
      </c>
      <c r="B1067" t="str">
        <f>"9780292794078"</f>
        <v>9780292794078</v>
      </c>
      <c r="C1067" t="s">
        <v>4710</v>
      </c>
      <c r="D1067" t="s">
        <v>4708</v>
      </c>
      <c r="E1067" t="s">
        <v>4603</v>
      </c>
      <c r="H1067" t="s">
        <v>29</v>
      </c>
      <c r="I1067" t="s">
        <v>4709</v>
      </c>
    </row>
    <row r="1068" spans="1:9" x14ac:dyDescent="0.35">
      <c r="A1068" t="s">
        <v>4711</v>
      </c>
      <c r="B1068" t="str">
        <f>"9780292793880"</f>
        <v>9780292793880</v>
      </c>
      <c r="C1068" t="s">
        <v>4714</v>
      </c>
      <c r="D1068" t="s">
        <v>4712</v>
      </c>
      <c r="E1068" t="s">
        <v>4603</v>
      </c>
      <c r="H1068" t="s">
        <v>82</v>
      </c>
      <c r="I1068" t="s">
        <v>4713</v>
      </c>
    </row>
    <row r="1069" spans="1:9" x14ac:dyDescent="0.35">
      <c r="A1069" t="s">
        <v>4715</v>
      </c>
      <c r="B1069" t="str">
        <f>"9780292793804"</f>
        <v>9780292793804</v>
      </c>
      <c r="C1069" t="s">
        <v>4718</v>
      </c>
      <c r="D1069" t="s">
        <v>4716</v>
      </c>
      <c r="E1069" t="s">
        <v>4603</v>
      </c>
      <c r="H1069" t="s">
        <v>29</v>
      </c>
      <c r="I1069" t="s">
        <v>4717</v>
      </c>
    </row>
    <row r="1070" spans="1:9" x14ac:dyDescent="0.35">
      <c r="A1070" t="s">
        <v>4719</v>
      </c>
      <c r="B1070" t="str">
        <f>"9780292793712"</f>
        <v>9780292793712</v>
      </c>
      <c r="C1070" t="s">
        <v>4722</v>
      </c>
      <c r="D1070" t="s">
        <v>4720</v>
      </c>
      <c r="E1070" t="s">
        <v>4603</v>
      </c>
      <c r="H1070" t="s">
        <v>29</v>
      </c>
      <c r="I1070" t="s">
        <v>4721</v>
      </c>
    </row>
    <row r="1071" spans="1:9" x14ac:dyDescent="0.35">
      <c r="A1071" t="s">
        <v>4723</v>
      </c>
      <c r="B1071" t="str">
        <f>"9780292793613"</f>
        <v>9780292793613</v>
      </c>
      <c r="C1071" t="s">
        <v>4726</v>
      </c>
      <c r="D1071" t="s">
        <v>4724</v>
      </c>
      <c r="E1071" t="s">
        <v>4603</v>
      </c>
      <c r="H1071" t="s">
        <v>29</v>
      </c>
      <c r="I1071" t="s">
        <v>4725</v>
      </c>
    </row>
    <row r="1072" spans="1:9" x14ac:dyDescent="0.35">
      <c r="A1072" t="s">
        <v>4727</v>
      </c>
      <c r="B1072" t="str">
        <f>"9780292793569"</f>
        <v>9780292793569</v>
      </c>
      <c r="C1072" t="s">
        <v>4730</v>
      </c>
      <c r="D1072" t="s">
        <v>4728</v>
      </c>
      <c r="E1072" t="s">
        <v>4603</v>
      </c>
      <c r="H1072" t="s">
        <v>1248</v>
      </c>
      <c r="I1072" t="s">
        <v>4729</v>
      </c>
    </row>
    <row r="1073" spans="1:9" x14ac:dyDescent="0.35">
      <c r="A1073" t="s">
        <v>4731</v>
      </c>
      <c r="B1073" t="str">
        <f>"9780292799264"</f>
        <v>9780292799264</v>
      </c>
      <c r="C1073" t="s">
        <v>4734</v>
      </c>
      <c r="D1073" t="s">
        <v>4732</v>
      </c>
      <c r="E1073" t="s">
        <v>4603</v>
      </c>
      <c r="H1073" t="s">
        <v>23</v>
      </c>
      <c r="I1073" t="s">
        <v>4733</v>
      </c>
    </row>
    <row r="1074" spans="1:9" x14ac:dyDescent="0.35">
      <c r="A1074" t="s">
        <v>4735</v>
      </c>
      <c r="B1074" t="str">
        <f>"9780292797628"</f>
        <v>9780292797628</v>
      </c>
      <c r="C1074" t="s">
        <v>4737</v>
      </c>
      <c r="D1074" t="s">
        <v>2148</v>
      </c>
      <c r="E1074" t="s">
        <v>4603</v>
      </c>
      <c r="H1074" t="s">
        <v>1866</v>
      </c>
      <c r="I1074" t="s">
        <v>4736</v>
      </c>
    </row>
    <row r="1075" spans="1:9" x14ac:dyDescent="0.35">
      <c r="A1075" t="s">
        <v>4738</v>
      </c>
      <c r="B1075" t="str">
        <f>"9780292793347"</f>
        <v>9780292793347</v>
      </c>
      <c r="C1075" t="s">
        <v>4742</v>
      </c>
      <c r="D1075" t="s">
        <v>4740</v>
      </c>
      <c r="E1075" t="s">
        <v>4603</v>
      </c>
      <c r="F1075" t="s">
        <v>4739</v>
      </c>
      <c r="H1075" t="s">
        <v>29</v>
      </c>
      <c r="I1075" t="s">
        <v>4741</v>
      </c>
    </row>
    <row r="1076" spans="1:9" x14ac:dyDescent="0.35">
      <c r="A1076" t="s">
        <v>4743</v>
      </c>
      <c r="B1076" t="str">
        <f>"9780292793460"</f>
        <v>9780292793460</v>
      </c>
      <c r="C1076" t="s">
        <v>4747</v>
      </c>
      <c r="D1076" t="s">
        <v>4745</v>
      </c>
      <c r="E1076" t="s">
        <v>4603</v>
      </c>
      <c r="F1076" t="s">
        <v>4744</v>
      </c>
      <c r="H1076" t="s">
        <v>87</v>
      </c>
      <c r="I1076" t="s">
        <v>4746</v>
      </c>
    </row>
    <row r="1077" spans="1:9" x14ac:dyDescent="0.35">
      <c r="A1077" t="s">
        <v>4748</v>
      </c>
      <c r="B1077" t="str">
        <f>"9780292793477"</f>
        <v>9780292793477</v>
      </c>
      <c r="C1077" t="s">
        <v>4751</v>
      </c>
      <c r="D1077" t="s">
        <v>4749</v>
      </c>
      <c r="E1077" t="s">
        <v>4603</v>
      </c>
      <c r="F1077" t="s">
        <v>4744</v>
      </c>
      <c r="H1077" t="s">
        <v>82</v>
      </c>
      <c r="I1077" t="s">
        <v>4750</v>
      </c>
    </row>
    <row r="1078" spans="1:9" x14ac:dyDescent="0.35">
      <c r="A1078" t="s">
        <v>4752</v>
      </c>
      <c r="B1078" t="str">
        <f>"9780292799073"</f>
        <v>9780292799073</v>
      </c>
      <c r="C1078" t="s">
        <v>4755</v>
      </c>
      <c r="D1078" t="s">
        <v>4753</v>
      </c>
      <c r="E1078" t="s">
        <v>4603</v>
      </c>
      <c r="H1078" t="s">
        <v>29</v>
      </c>
      <c r="I1078" t="s">
        <v>4754</v>
      </c>
    </row>
    <row r="1079" spans="1:9" x14ac:dyDescent="0.35">
      <c r="A1079" t="s">
        <v>4756</v>
      </c>
      <c r="B1079" t="str">
        <f>"9780292793057"</f>
        <v>9780292793057</v>
      </c>
      <c r="C1079" t="s">
        <v>4759</v>
      </c>
      <c r="D1079" t="s">
        <v>4757</v>
      </c>
      <c r="E1079" t="s">
        <v>4603</v>
      </c>
      <c r="H1079" t="s">
        <v>29</v>
      </c>
      <c r="I1079" t="s">
        <v>4758</v>
      </c>
    </row>
    <row r="1080" spans="1:9" x14ac:dyDescent="0.35">
      <c r="A1080" t="s">
        <v>4760</v>
      </c>
      <c r="B1080" t="str">
        <f>"9780292791831"</f>
        <v>9780292791831</v>
      </c>
      <c r="C1080" t="s">
        <v>4763</v>
      </c>
      <c r="D1080" t="s">
        <v>4761</v>
      </c>
      <c r="E1080" t="s">
        <v>4603</v>
      </c>
      <c r="H1080" t="s">
        <v>29</v>
      </c>
      <c r="I1080" t="s">
        <v>4762</v>
      </c>
    </row>
    <row r="1081" spans="1:9" x14ac:dyDescent="0.35">
      <c r="A1081" t="s">
        <v>4764</v>
      </c>
      <c r="B1081" t="str">
        <f>"9780292784659"</f>
        <v>9780292784659</v>
      </c>
      <c r="C1081" t="s">
        <v>4767</v>
      </c>
      <c r="D1081" t="s">
        <v>4765</v>
      </c>
      <c r="E1081" t="s">
        <v>4603</v>
      </c>
      <c r="H1081" t="s">
        <v>29</v>
      </c>
      <c r="I1081" t="s">
        <v>4766</v>
      </c>
    </row>
    <row r="1082" spans="1:9" x14ac:dyDescent="0.35">
      <c r="A1082" t="s">
        <v>4768</v>
      </c>
      <c r="B1082" t="str">
        <f>"9780292729995"</f>
        <v>9780292729995</v>
      </c>
      <c r="C1082" t="s">
        <v>4771</v>
      </c>
      <c r="D1082" t="s">
        <v>4769</v>
      </c>
      <c r="E1082" t="s">
        <v>4603</v>
      </c>
      <c r="H1082" t="s">
        <v>49</v>
      </c>
      <c r="I1082" t="s">
        <v>4770</v>
      </c>
    </row>
    <row r="1083" spans="1:9" x14ac:dyDescent="0.35">
      <c r="A1083" t="s">
        <v>4772</v>
      </c>
      <c r="B1083" t="str">
        <f>"9780292734876"</f>
        <v>9780292734876</v>
      </c>
      <c r="C1083" t="s">
        <v>4775</v>
      </c>
      <c r="D1083" t="s">
        <v>4773</v>
      </c>
      <c r="E1083" t="s">
        <v>4603</v>
      </c>
      <c r="H1083" t="s">
        <v>430</v>
      </c>
      <c r="I1083" t="s">
        <v>4774</v>
      </c>
    </row>
    <row r="1084" spans="1:9" x14ac:dyDescent="0.35">
      <c r="A1084" t="s">
        <v>4776</v>
      </c>
      <c r="B1084" t="str">
        <f>"9780292734845"</f>
        <v>9780292734845</v>
      </c>
      <c r="C1084" t="s">
        <v>4780</v>
      </c>
      <c r="D1084" t="s">
        <v>4778</v>
      </c>
      <c r="E1084" t="s">
        <v>4603</v>
      </c>
      <c r="F1084" t="s">
        <v>4777</v>
      </c>
      <c r="H1084" t="s">
        <v>82</v>
      </c>
      <c r="I1084" t="s">
        <v>4779</v>
      </c>
    </row>
    <row r="1085" spans="1:9" x14ac:dyDescent="0.35">
      <c r="A1085" t="s">
        <v>4781</v>
      </c>
      <c r="B1085" t="str">
        <f>"9780292735460"</f>
        <v>9780292735460</v>
      </c>
      <c r="C1085" t="s">
        <v>4784</v>
      </c>
      <c r="D1085" t="s">
        <v>4782</v>
      </c>
      <c r="E1085" t="s">
        <v>4603</v>
      </c>
      <c r="H1085" t="s">
        <v>29</v>
      </c>
      <c r="I1085" t="s">
        <v>4783</v>
      </c>
    </row>
    <row r="1086" spans="1:9" x14ac:dyDescent="0.35">
      <c r="A1086" t="s">
        <v>4785</v>
      </c>
      <c r="B1086" t="str">
        <f>"9780292737679"</f>
        <v>9780292737679</v>
      </c>
      <c r="C1086" t="s">
        <v>4788</v>
      </c>
      <c r="D1086" t="s">
        <v>4786</v>
      </c>
      <c r="E1086" t="s">
        <v>4603</v>
      </c>
      <c r="F1086" t="s">
        <v>4777</v>
      </c>
      <c r="H1086" t="s">
        <v>1248</v>
      </c>
      <c r="I1086" t="s">
        <v>4787</v>
      </c>
    </row>
    <row r="1087" spans="1:9" x14ac:dyDescent="0.35">
      <c r="A1087" t="s">
        <v>4789</v>
      </c>
      <c r="B1087" t="str">
        <f>"9780292735392"</f>
        <v>9780292735392</v>
      </c>
      <c r="C1087" t="s">
        <v>4792</v>
      </c>
      <c r="D1087" t="s">
        <v>4790</v>
      </c>
      <c r="E1087" t="s">
        <v>4603</v>
      </c>
      <c r="H1087" t="s">
        <v>29</v>
      </c>
      <c r="I1087" t="s">
        <v>4791</v>
      </c>
    </row>
    <row r="1088" spans="1:9" x14ac:dyDescent="0.35">
      <c r="A1088" t="s">
        <v>4793</v>
      </c>
      <c r="B1088" t="str">
        <f>"9780292735729"</f>
        <v>9780292735729</v>
      </c>
      <c r="C1088" t="s">
        <v>4796</v>
      </c>
      <c r="D1088" t="s">
        <v>4794</v>
      </c>
      <c r="E1088" t="s">
        <v>4603</v>
      </c>
      <c r="F1088" t="s">
        <v>4777</v>
      </c>
      <c r="H1088" t="s">
        <v>29</v>
      </c>
      <c r="I1088" t="s">
        <v>4795</v>
      </c>
    </row>
    <row r="1089" spans="1:9" x14ac:dyDescent="0.35">
      <c r="A1089" t="s">
        <v>4797</v>
      </c>
      <c r="B1089" t="str">
        <f>"9780292735439"</f>
        <v>9780292735439</v>
      </c>
      <c r="C1089" t="s">
        <v>4800</v>
      </c>
      <c r="D1089" t="s">
        <v>4798</v>
      </c>
      <c r="E1089" t="s">
        <v>4603</v>
      </c>
      <c r="H1089" t="s">
        <v>49</v>
      </c>
      <c r="I1089" t="s">
        <v>4799</v>
      </c>
    </row>
    <row r="1090" spans="1:9" x14ac:dyDescent="0.35">
      <c r="A1090" t="s">
        <v>4801</v>
      </c>
      <c r="B1090" t="str">
        <f>"9780292737426"</f>
        <v>9780292737426</v>
      </c>
      <c r="C1090" t="s">
        <v>4805</v>
      </c>
      <c r="D1090" t="s">
        <v>4688</v>
      </c>
      <c r="E1090" t="s">
        <v>4603</v>
      </c>
      <c r="F1090" t="s">
        <v>4802</v>
      </c>
      <c r="H1090" t="s">
        <v>4803</v>
      </c>
      <c r="I1090" t="s">
        <v>4804</v>
      </c>
    </row>
    <row r="1091" spans="1:9" x14ac:dyDescent="0.35">
      <c r="A1091" t="s">
        <v>4806</v>
      </c>
      <c r="B1091" t="str">
        <f>"9780292735491"</f>
        <v>9780292735491</v>
      </c>
      <c r="C1091" t="s">
        <v>4809</v>
      </c>
      <c r="D1091" t="s">
        <v>4807</v>
      </c>
      <c r="E1091" t="s">
        <v>4603</v>
      </c>
      <c r="F1091" t="s">
        <v>4744</v>
      </c>
      <c r="H1091" t="s">
        <v>298</v>
      </c>
      <c r="I1091" t="s">
        <v>4808</v>
      </c>
    </row>
    <row r="1092" spans="1:9" x14ac:dyDescent="0.35">
      <c r="A1092" t="s">
        <v>4810</v>
      </c>
      <c r="B1092" t="str">
        <f>"9780292737600"</f>
        <v>9780292737600</v>
      </c>
      <c r="C1092" t="s">
        <v>4813</v>
      </c>
      <c r="D1092" t="s">
        <v>4811</v>
      </c>
      <c r="E1092" t="s">
        <v>4603</v>
      </c>
      <c r="F1092" t="s">
        <v>4744</v>
      </c>
      <c r="H1092" t="s">
        <v>29</v>
      </c>
      <c r="I1092" t="s">
        <v>4812</v>
      </c>
    </row>
    <row r="1093" spans="1:9" x14ac:dyDescent="0.35">
      <c r="A1093" t="s">
        <v>4814</v>
      </c>
      <c r="B1093" t="str">
        <f>"9780292734760"</f>
        <v>9780292734760</v>
      </c>
      <c r="C1093" t="s">
        <v>4817</v>
      </c>
      <c r="D1093" t="s">
        <v>4815</v>
      </c>
      <c r="E1093" t="s">
        <v>4603</v>
      </c>
      <c r="H1093" t="s">
        <v>29</v>
      </c>
      <c r="I1093" t="s">
        <v>4816</v>
      </c>
    </row>
    <row r="1094" spans="1:9" x14ac:dyDescent="0.35">
      <c r="A1094" t="s">
        <v>4818</v>
      </c>
      <c r="B1094" t="str">
        <f>"9780292739512"</f>
        <v>9780292739512</v>
      </c>
      <c r="C1094" t="s">
        <v>4821</v>
      </c>
      <c r="D1094" t="s">
        <v>4819</v>
      </c>
      <c r="E1094" t="s">
        <v>4603</v>
      </c>
      <c r="H1094" t="s">
        <v>29</v>
      </c>
      <c r="I1094" t="s">
        <v>4820</v>
      </c>
    </row>
    <row r="1095" spans="1:9" x14ac:dyDescent="0.35">
      <c r="A1095" t="s">
        <v>4822</v>
      </c>
      <c r="B1095" t="str">
        <f>"9780292744936"</f>
        <v>9780292744936</v>
      </c>
      <c r="C1095" t="s">
        <v>4825</v>
      </c>
      <c r="D1095" t="s">
        <v>4823</v>
      </c>
      <c r="E1095" t="s">
        <v>4603</v>
      </c>
      <c r="H1095" t="s">
        <v>29</v>
      </c>
      <c r="I1095" t="s">
        <v>4824</v>
      </c>
    </row>
    <row r="1096" spans="1:9" x14ac:dyDescent="0.35">
      <c r="A1096" t="s">
        <v>4826</v>
      </c>
      <c r="B1096" t="str">
        <f>"9780292753754"</f>
        <v>9780292753754</v>
      </c>
      <c r="C1096" t="s">
        <v>4829</v>
      </c>
      <c r="D1096" t="s">
        <v>4827</v>
      </c>
      <c r="E1096" t="s">
        <v>4603</v>
      </c>
      <c r="H1096" t="s">
        <v>82</v>
      </c>
      <c r="I1096" t="s">
        <v>4828</v>
      </c>
    </row>
    <row r="1097" spans="1:9" x14ac:dyDescent="0.35">
      <c r="A1097" t="s">
        <v>4830</v>
      </c>
      <c r="B1097" t="str">
        <f>"9780292748200"</f>
        <v>9780292748200</v>
      </c>
      <c r="C1097" t="s">
        <v>4833</v>
      </c>
      <c r="D1097" t="s">
        <v>4831</v>
      </c>
      <c r="E1097" t="s">
        <v>4603</v>
      </c>
      <c r="H1097" t="s">
        <v>82</v>
      </c>
      <c r="I1097" t="s">
        <v>4832</v>
      </c>
    </row>
    <row r="1098" spans="1:9" x14ac:dyDescent="0.35">
      <c r="A1098" t="s">
        <v>4834</v>
      </c>
      <c r="B1098" t="str">
        <f>"9780292749139"</f>
        <v>9780292749139</v>
      </c>
      <c r="C1098" t="s">
        <v>4837</v>
      </c>
      <c r="D1098" t="s">
        <v>4835</v>
      </c>
      <c r="E1098" t="s">
        <v>4603</v>
      </c>
      <c r="H1098" t="s">
        <v>111</v>
      </c>
      <c r="I1098" t="s">
        <v>4836</v>
      </c>
    </row>
    <row r="1099" spans="1:9" x14ac:dyDescent="0.35">
      <c r="A1099" t="s">
        <v>4838</v>
      </c>
      <c r="B1099" t="str">
        <f>"9781442683815"</f>
        <v>9781442683815</v>
      </c>
      <c r="C1099" t="s">
        <v>4844</v>
      </c>
      <c r="D1099" t="s">
        <v>4841</v>
      </c>
      <c r="E1099" t="s">
        <v>4839</v>
      </c>
      <c r="F1099" t="s">
        <v>4840</v>
      </c>
      <c r="H1099" t="s">
        <v>4842</v>
      </c>
      <c r="I1099" t="s">
        <v>4843</v>
      </c>
    </row>
    <row r="1100" spans="1:9" x14ac:dyDescent="0.35">
      <c r="A1100" t="s">
        <v>4845</v>
      </c>
      <c r="B1100" t="str">
        <f>"9781607817901"</f>
        <v>9781607817901</v>
      </c>
      <c r="C1100" t="s">
        <v>4849</v>
      </c>
      <c r="D1100" t="s">
        <v>4847</v>
      </c>
      <c r="E1100" t="s">
        <v>4846</v>
      </c>
      <c r="H1100" t="s">
        <v>29</v>
      </c>
      <c r="I1100" t="s">
        <v>4848</v>
      </c>
    </row>
    <row r="1101" spans="1:9" x14ac:dyDescent="0.35">
      <c r="A1101" t="s">
        <v>4850</v>
      </c>
      <c r="B1101" t="str">
        <f>"9781607817895"</f>
        <v>9781607817895</v>
      </c>
      <c r="C1101" t="s">
        <v>4854</v>
      </c>
      <c r="D1101" t="s">
        <v>4852</v>
      </c>
      <c r="E1101" t="s">
        <v>4846</v>
      </c>
      <c r="F1101" t="s">
        <v>4851</v>
      </c>
      <c r="H1101" t="s">
        <v>422</v>
      </c>
      <c r="I1101" t="s">
        <v>4853</v>
      </c>
    </row>
    <row r="1102" spans="1:9" x14ac:dyDescent="0.35">
      <c r="A1102" t="s">
        <v>4855</v>
      </c>
      <c r="B1102" t="str">
        <f>"9781607817918"</f>
        <v>9781607817918</v>
      </c>
      <c r="C1102" t="s">
        <v>4858</v>
      </c>
      <c r="D1102" t="s">
        <v>4856</v>
      </c>
      <c r="E1102" t="s">
        <v>4846</v>
      </c>
      <c r="H1102" t="s">
        <v>29</v>
      </c>
      <c r="I1102" t="s">
        <v>4857</v>
      </c>
    </row>
    <row r="1103" spans="1:9" x14ac:dyDescent="0.35">
      <c r="A1103" t="s">
        <v>4859</v>
      </c>
      <c r="B1103" t="str">
        <f>"9781607819554"</f>
        <v>9781607819554</v>
      </c>
      <c r="C1103" t="s">
        <v>4863</v>
      </c>
      <c r="D1103" t="s">
        <v>4861</v>
      </c>
      <c r="E1103" t="s">
        <v>4846</v>
      </c>
      <c r="F1103" t="s">
        <v>4860</v>
      </c>
      <c r="H1103" t="s">
        <v>1283</v>
      </c>
      <c r="I1103" t="s">
        <v>4862</v>
      </c>
    </row>
    <row r="1104" spans="1:9" x14ac:dyDescent="0.35">
      <c r="A1104" t="s">
        <v>4864</v>
      </c>
      <c r="B1104" t="str">
        <f>"9781607819998"</f>
        <v>9781607819998</v>
      </c>
      <c r="C1104" t="s">
        <v>4867</v>
      </c>
      <c r="D1104" t="s">
        <v>4865</v>
      </c>
      <c r="E1104" t="s">
        <v>4846</v>
      </c>
      <c r="H1104" t="s">
        <v>29</v>
      </c>
      <c r="I1104" t="s">
        <v>4866</v>
      </c>
    </row>
    <row r="1105" spans="1:9" x14ac:dyDescent="0.35">
      <c r="A1105" t="s">
        <v>4868</v>
      </c>
      <c r="B1105" t="str">
        <f>"9781607819707"</f>
        <v>9781607819707</v>
      </c>
      <c r="C1105" t="s">
        <v>4871</v>
      </c>
      <c r="D1105" t="s">
        <v>4869</v>
      </c>
      <c r="E1105" t="s">
        <v>4846</v>
      </c>
      <c r="H1105" t="s">
        <v>29</v>
      </c>
      <c r="I1105" t="s">
        <v>4870</v>
      </c>
    </row>
    <row r="1106" spans="1:9" x14ac:dyDescent="0.35">
      <c r="A1106" t="s">
        <v>4872</v>
      </c>
      <c r="B1106" t="str">
        <f>"9781607819783"</f>
        <v>9781607819783</v>
      </c>
      <c r="C1106" t="s">
        <v>4875</v>
      </c>
      <c r="D1106" t="s">
        <v>4873</v>
      </c>
      <c r="E1106" t="s">
        <v>4846</v>
      </c>
      <c r="H1106" t="s">
        <v>147</v>
      </c>
      <c r="I1106" t="s">
        <v>4874</v>
      </c>
    </row>
    <row r="1107" spans="1:9" x14ac:dyDescent="0.35">
      <c r="A1107" t="s">
        <v>4876</v>
      </c>
      <c r="B1107" t="str">
        <f>"9781607819868"</f>
        <v>9781607819868</v>
      </c>
      <c r="C1107" t="s">
        <v>4879</v>
      </c>
      <c r="D1107" t="s">
        <v>4877</v>
      </c>
      <c r="E1107" t="s">
        <v>4846</v>
      </c>
      <c r="H1107" t="s">
        <v>29</v>
      </c>
      <c r="I1107" t="s">
        <v>4878</v>
      </c>
    </row>
    <row r="1108" spans="1:9" x14ac:dyDescent="0.35">
      <c r="A1108" t="s">
        <v>4880</v>
      </c>
      <c r="B1108" t="str">
        <f>"9781607812005"</f>
        <v>9781607812005</v>
      </c>
      <c r="C1108" t="s">
        <v>4883</v>
      </c>
      <c r="D1108" t="s">
        <v>4881</v>
      </c>
      <c r="E1108" t="s">
        <v>4846</v>
      </c>
      <c r="H1108" t="s">
        <v>29</v>
      </c>
      <c r="I1108" t="s">
        <v>4882</v>
      </c>
    </row>
    <row r="1109" spans="1:9" x14ac:dyDescent="0.35">
      <c r="A1109" t="s">
        <v>4884</v>
      </c>
      <c r="B1109" t="str">
        <f>"9781607812173"</f>
        <v>9781607812173</v>
      </c>
      <c r="C1109" t="s">
        <v>4888</v>
      </c>
      <c r="D1109" t="s">
        <v>4886</v>
      </c>
      <c r="E1109" t="s">
        <v>4846</v>
      </c>
      <c r="F1109" t="s">
        <v>4885</v>
      </c>
      <c r="H1109" t="s">
        <v>29</v>
      </c>
      <c r="I1109" t="s">
        <v>4887</v>
      </c>
    </row>
    <row r="1110" spans="1:9" x14ac:dyDescent="0.35">
      <c r="A1110" t="s">
        <v>4889</v>
      </c>
      <c r="B1110" t="str">
        <f>"9781607819684"</f>
        <v>9781607819684</v>
      </c>
      <c r="C1110" t="s">
        <v>4892</v>
      </c>
      <c r="D1110" t="s">
        <v>4890</v>
      </c>
      <c r="E1110" t="s">
        <v>4846</v>
      </c>
      <c r="H1110" t="s">
        <v>147</v>
      </c>
      <c r="I1110" t="s">
        <v>4891</v>
      </c>
    </row>
    <row r="1111" spans="1:9" x14ac:dyDescent="0.35">
      <c r="A1111" t="s">
        <v>4893</v>
      </c>
      <c r="B1111" t="str">
        <f>"9781607819745"</f>
        <v>9781607819745</v>
      </c>
      <c r="C1111" t="s">
        <v>4896</v>
      </c>
      <c r="D1111" t="s">
        <v>4894</v>
      </c>
      <c r="E1111" t="s">
        <v>4846</v>
      </c>
      <c r="H1111" t="s">
        <v>23</v>
      </c>
      <c r="I1111" t="s">
        <v>4895</v>
      </c>
    </row>
    <row r="1112" spans="1:9" x14ac:dyDescent="0.35">
      <c r="A1112" t="s">
        <v>4897</v>
      </c>
      <c r="B1112" t="str">
        <f>"9781607812166"</f>
        <v>9781607812166</v>
      </c>
      <c r="C1112" t="s">
        <v>4900</v>
      </c>
      <c r="D1112" t="s">
        <v>4898</v>
      </c>
      <c r="E1112" t="s">
        <v>4846</v>
      </c>
      <c r="H1112" t="s">
        <v>29</v>
      </c>
      <c r="I1112" t="s">
        <v>4899</v>
      </c>
    </row>
    <row r="1113" spans="1:9" x14ac:dyDescent="0.35">
      <c r="A1113" t="s">
        <v>4901</v>
      </c>
      <c r="B1113" t="str">
        <f>"9781607819936"</f>
        <v>9781607819936</v>
      </c>
      <c r="C1113" t="s">
        <v>4904</v>
      </c>
      <c r="D1113" t="s">
        <v>4902</v>
      </c>
      <c r="E1113" t="s">
        <v>4846</v>
      </c>
      <c r="H1113" t="s">
        <v>29</v>
      </c>
      <c r="I1113" t="s">
        <v>4903</v>
      </c>
    </row>
    <row r="1114" spans="1:9" x14ac:dyDescent="0.35">
      <c r="A1114" t="s">
        <v>4905</v>
      </c>
      <c r="B1114" t="str">
        <f>"9781607819929"</f>
        <v>9781607819929</v>
      </c>
      <c r="C1114" t="s">
        <v>4908</v>
      </c>
      <c r="D1114" t="s">
        <v>4906</v>
      </c>
      <c r="E1114" t="s">
        <v>4846</v>
      </c>
      <c r="H1114" t="s">
        <v>29</v>
      </c>
      <c r="I1114" t="s">
        <v>4907</v>
      </c>
    </row>
    <row r="1115" spans="1:9" x14ac:dyDescent="0.35">
      <c r="A1115" t="s">
        <v>4909</v>
      </c>
      <c r="B1115" t="str">
        <f>"9781607812227"</f>
        <v>9781607812227</v>
      </c>
      <c r="C1115" t="s">
        <v>4912</v>
      </c>
      <c r="D1115" t="s">
        <v>4910</v>
      </c>
      <c r="E1115" t="s">
        <v>4846</v>
      </c>
      <c r="H1115" t="s">
        <v>87</v>
      </c>
      <c r="I1115" t="s">
        <v>4911</v>
      </c>
    </row>
    <row r="1116" spans="1:9" x14ac:dyDescent="0.35">
      <c r="A1116" t="s">
        <v>4913</v>
      </c>
      <c r="B1116" t="str">
        <f>"9781607812029"</f>
        <v>9781607812029</v>
      </c>
      <c r="C1116" t="s">
        <v>4916</v>
      </c>
      <c r="D1116" t="s">
        <v>4914</v>
      </c>
      <c r="E1116" t="s">
        <v>4846</v>
      </c>
      <c r="H1116" t="s">
        <v>29</v>
      </c>
      <c r="I1116" t="s">
        <v>4915</v>
      </c>
    </row>
    <row r="1117" spans="1:9" x14ac:dyDescent="0.35">
      <c r="A1117" t="s">
        <v>4917</v>
      </c>
      <c r="B1117" t="str">
        <f>"9781607819943"</f>
        <v>9781607819943</v>
      </c>
      <c r="C1117" t="s">
        <v>4920</v>
      </c>
      <c r="D1117" t="s">
        <v>4918</v>
      </c>
      <c r="E1117" t="s">
        <v>4846</v>
      </c>
      <c r="H1117" t="s">
        <v>29</v>
      </c>
      <c r="I1117" t="s">
        <v>4919</v>
      </c>
    </row>
    <row r="1118" spans="1:9" x14ac:dyDescent="0.35">
      <c r="A1118" t="s">
        <v>4921</v>
      </c>
      <c r="B1118" t="str">
        <f>"9781607812210"</f>
        <v>9781607812210</v>
      </c>
      <c r="C1118" t="s">
        <v>4924</v>
      </c>
      <c r="D1118" t="s">
        <v>4922</v>
      </c>
      <c r="E1118" t="s">
        <v>4846</v>
      </c>
      <c r="H1118" t="s">
        <v>29</v>
      </c>
      <c r="I1118" t="s">
        <v>4923</v>
      </c>
    </row>
    <row r="1119" spans="1:9" x14ac:dyDescent="0.35">
      <c r="A1119" t="s">
        <v>4925</v>
      </c>
      <c r="B1119" t="str">
        <f>"9781607812197"</f>
        <v>9781607812197</v>
      </c>
      <c r="C1119" t="s">
        <v>4928</v>
      </c>
      <c r="D1119" t="s">
        <v>4926</v>
      </c>
      <c r="E1119" t="s">
        <v>4846</v>
      </c>
      <c r="H1119" t="s">
        <v>82</v>
      </c>
      <c r="I1119" t="s">
        <v>4927</v>
      </c>
    </row>
    <row r="1120" spans="1:9" x14ac:dyDescent="0.35">
      <c r="A1120" t="s">
        <v>4929</v>
      </c>
      <c r="B1120" t="str">
        <f>"9781607812289"</f>
        <v>9781607812289</v>
      </c>
      <c r="C1120" t="s">
        <v>4932</v>
      </c>
      <c r="D1120" t="s">
        <v>4930</v>
      </c>
      <c r="E1120" t="s">
        <v>4846</v>
      </c>
      <c r="H1120" t="s">
        <v>430</v>
      </c>
      <c r="I1120" t="s">
        <v>4931</v>
      </c>
    </row>
    <row r="1121" spans="1:9" x14ac:dyDescent="0.35">
      <c r="A1121" t="s">
        <v>4933</v>
      </c>
      <c r="B1121" t="str">
        <f>"9781607812302"</f>
        <v>9781607812302</v>
      </c>
      <c r="C1121" t="s">
        <v>4936</v>
      </c>
      <c r="D1121" t="s">
        <v>4934</v>
      </c>
      <c r="E1121" t="s">
        <v>4846</v>
      </c>
      <c r="H1121" t="s">
        <v>29</v>
      </c>
      <c r="I1121" t="s">
        <v>4935</v>
      </c>
    </row>
    <row r="1122" spans="1:9" x14ac:dyDescent="0.35">
      <c r="A1122" t="s">
        <v>4937</v>
      </c>
      <c r="B1122" t="str">
        <f>"9781607812333"</f>
        <v>9781607812333</v>
      </c>
      <c r="C1122" t="s">
        <v>4940</v>
      </c>
      <c r="D1122" t="s">
        <v>4938</v>
      </c>
      <c r="E1122" t="s">
        <v>4846</v>
      </c>
      <c r="H1122" t="s">
        <v>29</v>
      </c>
      <c r="I1122" t="s">
        <v>4939</v>
      </c>
    </row>
    <row r="1123" spans="1:9" x14ac:dyDescent="0.35">
      <c r="A1123" t="s">
        <v>4941</v>
      </c>
      <c r="B1123" t="str">
        <f>"9781607812357"</f>
        <v>9781607812357</v>
      </c>
      <c r="C1123" t="s">
        <v>4944</v>
      </c>
      <c r="D1123" t="s">
        <v>4942</v>
      </c>
      <c r="E1123" t="s">
        <v>4846</v>
      </c>
      <c r="H1123" t="s">
        <v>29</v>
      </c>
      <c r="I1123" t="s">
        <v>4943</v>
      </c>
    </row>
    <row r="1124" spans="1:9" x14ac:dyDescent="0.35">
      <c r="A1124" t="s">
        <v>4945</v>
      </c>
      <c r="B1124" t="str">
        <f>"9781607812456"</f>
        <v>9781607812456</v>
      </c>
      <c r="C1124" t="s">
        <v>4948</v>
      </c>
      <c r="D1124" t="s">
        <v>4946</v>
      </c>
      <c r="E1124" t="s">
        <v>4846</v>
      </c>
      <c r="H1124" t="s">
        <v>111</v>
      </c>
      <c r="I1124" t="s">
        <v>4947</v>
      </c>
    </row>
    <row r="1125" spans="1:9" x14ac:dyDescent="0.35">
      <c r="A1125" t="s">
        <v>4949</v>
      </c>
      <c r="B1125" t="str">
        <f>"9781607812838"</f>
        <v>9781607812838</v>
      </c>
      <c r="C1125" t="s">
        <v>4952</v>
      </c>
      <c r="D1125" t="s">
        <v>4950</v>
      </c>
      <c r="E1125" t="s">
        <v>4846</v>
      </c>
      <c r="H1125" t="s">
        <v>29</v>
      </c>
      <c r="I1125" t="s">
        <v>4951</v>
      </c>
    </row>
    <row r="1126" spans="1:9" x14ac:dyDescent="0.35">
      <c r="A1126" t="s">
        <v>4953</v>
      </c>
      <c r="B1126" t="str">
        <f>"9781607813569"</f>
        <v>9781607813569</v>
      </c>
      <c r="C1126" t="s">
        <v>4956</v>
      </c>
      <c r="D1126" t="s">
        <v>4954</v>
      </c>
      <c r="E1126" t="s">
        <v>4846</v>
      </c>
      <c r="H1126" t="s">
        <v>29</v>
      </c>
      <c r="I1126" t="s">
        <v>4955</v>
      </c>
    </row>
    <row r="1127" spans="1:9" x14ac:dyDescent="0.35">
      <c r="A1127" t="s">
        <v>4957</v>
      </c>
      <c r="B1127" t="str">
        <f>"9781607813194"</f>
        <v>9781607813194</v>
      </c>
      <c r="C1127" t="s">
        <v>4960</v>
      </c>
      <c r="D1127" t="s">
        <v>4958</v>
      </c>
      <c r="E1127" t="s">
        <v>4846</v>
      </c>
      <c r="H1127" t="s">
        <v>29</v>
      </c>
      <c r="I1127" t="s">
        <v>4959</v>
      </c>
    </row>
    <row r="1128" spans="1:9" x14ac:dyDescent="0.35">
      <c r="A1128" t="s">
        <v>4961</v>
      </c>
      <c r="B1128" t="str">
        <f>"9781607812876"</f>
        <v>9781607812876</v>
      </c>
      <c r="C1128" t="s">
        <v>4963</v>
      </c>
      <c r="D1128" t="s">
        <v>4918</v>
      </c>
      <c r="E1128" t="s">
        <v>4846</v>
      </c>
      <c r="H1128" t="s">
        <v>29</v>
      </c>
      <c r="I1128" t="s">
        <v>4962</v>
      </c>
    </row>
    <row r="1129" spans="1:9" x14ac:dyDescent="0.35">
      <c r="A1129" t="s">
        <v>4964</v>
      </c>
      <c r="B1129" t="str">
        <f>"9781607813989"</f>
        <v>9781607813989</v>
      </c>
      <c r="C1129" t="s">
        <v>4967</v>
      </c>
      <c r="D1129" t="s">
        <v>4965</v>
      </c>
      <c r="E1129" t="s">
        <v>4846</v>
      </c>
      <c r="H1129" t="s">
        <v>265</v>
      </c>
      <c r="I1129" t="s">
        <v>4966</v>
      </c>
    </row>
    <row r="1130" spans="1:9" x14ac:dyDescent="0.35">
      <c r="A1130" t="s">
        <v>4968</v>
      </c>
      <c r="B1130" t="str">
        <f>"9780813930572"</f>
        <v>9780813930572</v>
      </c>
      <c r="C1130" t="s">
        <v>4973</v>
      </c>
      <c r="D1130" t="s">
        <v>4971</v>
      </c>
      <c r="E1130" t="s">
        <v>4969</v>
      </c>
      <c r="F1130" t="s">
        <v>4970</v>
      </c>
      <c r="H1130" t="s">
        <v>23</v>
      </c>
      <c r="I1130" t="s">
        <v>4972</v>
      </c>
    </row>
    <row r="1131" spans="1:9" x14ac:dyDescent="0.35">
      <c r="A1131" t="s">
        <v>4974</v>
      </c>
      <c r="B1131" t="str">
        <f>"9780813928708"</f>
        <v>9780813928708</v>
      </c>
      <c r="C1131" t="s">
        <v>4978</v>
      </c>
      <c r="D1131" t="s">
        <v>4976</v>
      </c>
      <c r="E1131" t="s">
        <v>4969</v>
      </c>
      <c r="F1131" t="s">
        <v>4975</v>
      </c>
      <c r="H1131" t="s">
        <v>29</v>
      </c>
      <c r="I1131" t="s">
        <v>4977</v>
      </c>
    </row>
    <row r="1132" spans="1:9" x14ac:dyDescent="0.35">
      <c r="A1132" t="s">
        <v>4979</v>
      </c>
      <c r="B1132" t="str">
        <f>"9780813932422"</f>
        <v>9780813932422</v>
      </c>
      <c r="C1132" t="s">
        <v>4984</v>
      </c>
      <c r="D1132" t="s">
        <v>4981</v>
      </c>
      <c r="E1132" t="s">
        <v>4969</v>
      </c>
      <c r="F1132" t="s">
        <v>4980</v>
      </c>
      <c r="H1132" t="s">
        <v>4982</v>
      </c>
      <c r="I1132" t="s">
        <v>4983</v>
      </c>
    </row>
    <row r="1133" spans="1:9" x14ac:dyDescent="0.35">
      <c r="A1133" t="s">
        <v>4985</v>
      </c>
      <c r="B1133" t="str">
        <f>"9780295989754"</f>
        <v>9780295989754</v>
      </c>
      <c r="C1133" t="s">
        <v>4990</v>
      </c>
      <c r="D1133" t="s">
        <v>4988</v>
      </c>
      <c r="E1133" t="s">
        <v>4986</v>
      </c>
      <c r="F1133" t="s">
        <v>4987</v>
      </c>
      <c r="H1133" t="s">
        <v>4080</v>
      </c>
      <c r="I1133" t="s">
        <v>4989</v>
      </c>
    </row>
    <row r="1134" spans="1:9" x14ac:dyDescent="0.35">
      <c r="A1134" t="s">
        <v>4991</v>
      </c>
      <c r="B1134" t="str">
        <f>"9780295800202"</f>
        <v>9780295800202</v>
      </c>
      <c r="C1134" t="s">
        <v>4994</v>
      </c>
      <c r="D1134" t="s">
        <v>4992</v>
      </c>
      <c r="E1134" t="s">
        <v>4986</v>
      </c>
      <c r="H1134" t="s">
        <v>233</v>
      </c>
      <c r="I1134" t="s">
        <v>4993</v>
      </c>
    </row>
    <row r="1135" spans="1:9" x14ac:dyDescent="0.35">
      <c r="A1135" t="s">
        <v>4995</v>
      </c>
      <c r="B1135" t="str">
        <f>"9780295801971"</f>
        <v>9780295801971</v>
      </c>
      <c r="C1135" t="s">
        <v>4999</v>
      </c>
      <c r="D1135" t="s">
        <v>4997</v>
      </c>
      <c r="E1135" t="s">
        <v>4986</v>
      </c>
      <c r="F1135" t="s">
        <v>4996</v>
      </c>
      <c r="H1135" t="s">
        <v>140</v>
      </c>
      <c r="I1135" t="s">
        <v>4998</v>
      </c>
    </row>
    <row r="1136" spans="1:9" x14ac:dyDescent="0.35">
      <c r="A1136" t="s">
        <v>5000</v>
      </c>
      <c r="B1136" t="str">
        <f>"9780295801490"</f>
        <v>9780295801490</v>
      </c>
      <c r="C1136" t="s">
        <v>5004</v>
      </c>
      <c r="D1136" t="s">
        <v>5002</v>
      </c>
      <c r="E1136" t="s">
        <v>4986</v>
      </c>
      <c r="F1136" t="s">
        <v>5001</v>
      </c>
      <c r="H1136" t="s">
        <v>265</v>
      </c>
      <c r="I1136" t="s">
        <v>5003</v>
      </c>
    </row>
    <row r="1137" spans="1:9" x14ac:dyDescent="0.35">
      <c r="A1137" t="s">
        <v>5005</v>
      </c>
      <c r="B1137" t="str">
        <f>"9780295802497"</f>
        <v>9780295802497</v>
      </c>
      <c r="C1137" t="s">
        <v>5008</v>
      </c>
      <c r="D1137" t="s">
        <v>5006</v>
      </c>
      <c r="E1137" t="s">
        <v>4986</v>
      </c>
      <c r="H1137" t="s">
        <v>82</v>
      </c>
      <c r="I1137" t="s">
        <v>5007</v>
      </c>
    </row>
    <row r="1138" spans="1:9" x14ac:dyDescent="0.35">
      <c r="A1138" t="s">
        <v>5009</v>
      </c>
      <c r="B1138" t="str">
        <f>"9780295989921"</f>
        <v>9780295989921</v>
      </c>
      <c r="C1138" t="s">
        <v>5012</v>
      </c>
      <c r="D1138" t="s">
        <v>5010</v>
      </c>
      <c r="E1138" t="s">
        <v>4986</v>
      </c>
      <c r="F1138" t="s">
        <v>4987</v>
      </c>
      <c r="H1138" t="s">
        <v>29</v>
      </c>
      <c r="I1138" t="s">
        <v>5011</v>
      </c>
    </row>
    <row r="1139" spans="1:9" x14ac:dyDescent="0.35">
      <c r="A1139" t="s">
        <v>5013</v>
      </c>
      <c r="B1139" t="str">
        <f>"9780295802121"</f>
        <v>9780295802121</v>
      </c>
      <c r="C1139" t="s">
        <v>5016</v>
      </c>
      <c r="D1139" t="s">
        <v>5014</v>
      </c>
      <c r="E1139" t="s">
        <v>4986</v>
      </c>
      <c r="F1139" t="s">
        <v>4996</v>
      </c>
      <c r="H1139" t="s">
        <v>1866</v>
      </c>
      <c r="I1139" t="s">
        <v>5015</v>
      </c>
    </row>
    <row r="1140" spans="1:9" x14ac:dyDescent="0.35">
      <c r="A1140" t="s">
        <v>5017</v>
      </c>
      <c r="B1140" t="str">
        <f>"9780295803197"</f>
        <v>9780295803197</v>
      </c>
      <c r="C1140" t="s">
        <v>5020</v>
      </c>
      <c r="D1140" t="s">
        <v>5018</v>
      </c>
      <c r="E1140" t="s">
        <v>4986</v>
      </c>
      <c r="F1140" t="s">
        <v>4987</v>
      </c>
      <c r="H1140" t="s">
        <v>29</v>
      </c>
      <c r="I1140" t="s">
        <v>5019</v>
      </c>
    </row>
    <row r="1141" spans="1:9" x14ac:dyDescent="0.35">
      <c r="A1141" t="s">
        <v>5021</v>
      </c>
      <c r="B1141" t="str">
        <f>"9780295800929"</f>
        <v>9780295800929</v>
      </c>
      <c r="C1141" t="s">
        <v>5024</v>
      </c>
      <c r="D1141" t="s">
        <v>5022</v>
      </c>
      <c r="E1141" t="s">
        <v>4986</v>
      </c>
      <c r="F1141" t="s">
        <v>4996</v>
      </c>
      <c r="H1141" t="s">
        <v>29</v>
      </c>
      <c r="I1141" t="s">
        <v>5023</v>
      </c>
    </row>
    <row r="1142" spans="1:9" x14ac:dyDescent="0.35">
      <c r="A1142" t="s">
        <v>5025</v>
      </c>
      <c r="B1142" t="str">
        <f>"9780295800462"</f>
        <v>9780295800462</v>
      </c>
      <c r="C1142" t="s">
        <v>5028</v>
      </c>
      <c r="D1142" t="s">
        <v>5026</v>
      </c>
      <c r="E1142" t="s">
        <v>4986</v>
      </c>
      <c r="F1142" t="s">
        <v>4996</v>
      </c>
      <c r="H1142" t="s">
        <v>140</v>
      </c>
      <c r="I1142" t="s">
        <v>5027</v>
      </c>
    </row>
    <row r="1143" spans="1:9" x14ac:dyDescent="0.35">
      <c r="A1143" t="s">
        <v>5029</v>
      </c>
      <c r="B1143" t="str">
        <f>"9780295801162"</f>
        <v>9780295801162</v>
      </c>
      <c r="C1143" t="s">
        <v>5033</v>
      </c>
      <c r="D1143" t="s">
        <v>5031</v>
      </c>
      <c r="E1143" t="s">
        <v>4986</v>
      </c>
      <c r="F1143" t="s">
        <v>5030</v>
      </c>
      <c r="H1143" t="s">
        <v>233</v>
      </c>
      <c r="I1143" t="s">
        <v>5032</v>
      </c>
    </row>
    <row r="1144" spans="1:9" x14ac:dyDescent="0.35">
      <c r="A1144" t="s">
        <v>5034</v>
      </c>
      <c r="B1144" t="str">
        <f>"9780295801100"</f>
        <v>9780295801100</v>
      </c>
      <c r="C1144" t="s">
        <v>5038</v>
      </c>
      <c r="D1144" t="s">
        <v>5035</v>
      </c>
      <c r="E1144" t="s">
        <v>4986</v>
      </c>
      <c r="H1144" t="s">
        <v>5036</v>
      </c>
      <c r="I1144" t="s">
        <v>5037</v>
      </c>
    </row>
    <row r="1145" spans="1:9" x14ac:dyDescent="0.35">
      <c r="A1145" t="s">
        <v>5039</v>
      </c>
      <c r="B1145" t="str">
        <f>"9780295800400"</f>
        <v>9780295800400</v>
      </c>
      <c r="C1145" t="s">
        <v>5042</v>
      </c>
      <c r="D1145" t="s">
        <v>5040</v>
      </c>
      <c r="E1145" t="s">
        <v>4986</v>
      </c>
      <c r="F1145" t="s">
        <v>5030</v>
      </c>
      <c r="H1145" t="s">
        <v>265</v>
      </c>
      <c r="I1145" t="s">
        <v>5041</v>
      </c>
    </row>
    <row r="1146" spans="1:9" x14ac:dyDescent="0.35">
      <c r="A1146" t="s">
        <v>5043</v>
      </c>
      <c r="B1146" t="str">
        <f>"9780295802015"</f>
        <v>9780295802015</v>
      </c>
      <c r="C1146" t="s">
        <v>5046</v>
      </c>
      <c r="D1146" t="s">
        <v>5044</v>
      </c>
      <c r="E1146" t="s">
        <v>4986</v>
      </c>
      <c r="H1146" t="s">
        <v>29</v>
      </c>
      <c r="I1146" t="s">
        <v>5045</v>
      </c>
    </row>
    <row r="1147" spans="1:9" x14ac:dyDescent="0.35">
      <c r="A1147" t="s">
        <v>5047</v>
      </c>
      <c r="B1147" t="str">
        <f>"9780295804170"</f>
        <v>9780295804170</v>
      </c>
      <c r="C1147" t="s">
        <v>5051</v>
      </c>
      <c r="D1147" t="s">
        <v>5048</v>
      </c>
      <c r="E1147" t="s">
        <v>4986</v>
      </c>
      <c r="F1147" t="s">
        <v>5030</v>
      </c>
      <c r="H1147" t="s">
        <v>5049</v>
      </c>
      <c r="I1147" t="s">
        <v>5050</v>
      </c>
    </row>
    <row r="1148" spans="1:9" x14ac:dyDescent="0.35">
      <c r="A1148" t="s">
        <v>5052</v>
      </c>
      <c r="B1148" t="str">
        <f>"9780295804378"</f>
        <v>9780295804378</v>
      </c>
      <c r="C1148" t="s">
        <v>5055</v>
      </c>
      <c r="D1148" t="s">
        <v>5053</v>
      </c>
      <c r="E1148" t="s">
        <v>4986</v>
      </c>
      <c r="H1148" t="s">
        <v>29</v>
      </c>
      <c r="I1148" t="s">
        <v>5054</v>
      </c>
    </row>
    <row r="1149" spans="1:9" x14ac:dyDescent="0.35">
      <c r="A1149" t="s">
        <v>5056</v>
      </c>
      <c r="B1149" t="str">
        <f>"9780295803340"</f>
        <v>9780295803340</v>
      </c>
      <c r="C1149" t="s">
        <v>5060</v>
      </c>
      <c r="D1149" t="s">
        <v>5058</v>
      </c>
      <c r="E1149" t="s">
        <v>4986</v>
      </c>
      <c r="F1149" t="s">
        <v>5057</v>
      </c>
      <c r="H1149" t="s">
        <v>29</v>
      </c>
      <c r="I1149" t="s">
        <v>5059</v>
      </c>
    </row>
    <row r="1150" spans="1:9" x14ac:dyDescent="0.35">
      <c r="A1150" t="s">
        <v>5061</v>
      </c>
      <c r="B1150" t="str">
        <f>"9780295804750"</f>
        <v>9780295804750</v>
      </c>
      <c r="C1150" t="s">
        <v>5064</v>
      </c>
      <c r="D1150" t="s">
        <v>5062</v>
      </c>
      <c r="E1150" t="s">
        <v>4986</v>
      </c>
      <c r="H1150" t="s">
        <v>459</v>
      </c>
      <c r="I1150" t="s">
        <v>5063</v>
      </c>
    </row>
    <row r="1151" spans="1:9" x14ac:dyDescent="0.35">
      <c r="A1151" t="s">
        <v>5065</v>
      </c>
      <c r="B1151" t="str">
        <f>"9780295804385"</f>
        <v>9780295804385</v>
      </c>
      <c r="C1151" t="s">
        <v>5069</v>
      </c>
      <c r="D1151" t="s">
        <v>5067</v>
      </c>
      <c r="E1151" t="s">
        <v>4986</v>
      </c>
      <c r="F1151" t="s">
        <v>5066</v>
      </c>
      <c r="H1151" t="s">
        <v>111</v>
      </c>
      <c r="I1151" t="s">
        <v>5068</v>
      </c>
    </row>
    <row r="1152" spans="1:9" x14ac:dyDescent="0.35">
      <c r="A1152" t="s">
        <v>5070</v>
      </c>
      <c r="B1152" t="str">
        <f>"9780295804972"</f>
        <v>9780295804972</v>
      </c>
      <c r="C1152" t="s">
        <v>5073</v>
      </c>
      <c r="D1152" t="s">
        <v>5071</v>
      </c>
      <c r="E1152" t="s">
        <v>4986</v>
      </c>
      <c r="H1152" t="s">
        <v>82</v>
      </c>
      <c r="I1152" t="s">
        <v>5072</v>
      </c>
    </row>
    <row r="1153" spans="1:9" x14ac:dyDescent="0.35">
      <c r="A1153" t="s">
        <v>5074</v>
      </c>
      <c r="B1153" t="str">
        <f>"9780295804934"</f>
        <v>9780295804934</v>
      </c>
      <c r="C1153" t="s">
        <v>5077</v>
      </c>
      <c r="D1153" t="s">
        <v>5075</v>
      </c>
      <c r="E1153" t="s">
        <v>4986</v>
      </c>
      <c r="F1153" t="s">
        <v>5057</v>
      </c>
      <c r="H1153" t="s">
        <v>29</v>
      </c>
      <c r="I1153" t="s">
        <v>5076</v>
      </c>
    </row>
    <row r="1154" spans="1:9" x14ac:dyDescent="0.35">
      <c r="A1154" t="s">
        <v>5078</v>
      </c>
      <c r="B1154" t="str">
        <f>"9780295805917"</f>
        <v>9780295805917</v>
      </c>
      <c r="C1154" t="s">
        <v>5081</v>
      </c>
      <c r="D1154" t="s">
        <v>5079</v>
      </c>
      <c r="E1154" t="s">
        <v>4986</v>
      </c>
      <c r="H1154" t="s">
        <v>29</v>
      </c>
      <c r="I1154" t="s">
        <v>5080</v>
      </c>
    </row>
    <row r="1155" spans="1:9" x14ac:dyDescent="0.35">
      <c r="A1155" t="s">
        <v>5082</v>
      </c>
      <c r="B1155" t="str">
        <f>"9780295805399"</f>
        <v>9780295805399</v>
      </c>
      <c r="C1155" t="s">
        <v>5085</v>
      </c>
      <c r="D1155" t="s">
        <v>5083</v>
      </c>
      <c r="E1155" t="s">
        <v>4986</v>
      </c>
      <c r="H1155" t="s">
        <v>29</v>
      </c>
      <c r="I1155" t="s">
        <v>5084</v>
      </c>
    </row>
    <row r="1156" spans="1:9" x14ac:dyDescent="0.35">
      <c r="A1156" t="s">
        <v>5086</v>
      </c>
      <c r="B1156" t="str">
        <f>"9780295806051"</f>
        <v>9780295806051</v>
      </c>
      <c r="C1156" t="s">
        <v>5090</v>
      </c>
      <c r="D1156" t="s">
        <v>5088</v>
      </c>
      <c r="E1156" t="s">
        <v>4986</v>
      </c>
      <c r="F1156" t="s">
        <v>5087</v>
      </c>
      <c r="H1156" t="s">
        <v>29</v>
      </c>
      <c r="I1156" t="s">
        <v>5089</v>
      </c>
    </row>
    <row r="1157" spans="1:9" x14ac:dyDescent="0.35">
      <c r="A1157" t="s">
        <v>5091</v>
      </c>
      <c r="B1157" t="str">
        <f>"9780295805825"</f>
        <v>9780295805825</v>
      </c>
      <c r="C1157" t="s">
        <v>5094</v>
      </c>
      <c r="D1157" t="s">
        <v>5092</v>
      </c>
      <c r="E1157" t="s">
        <v>4986</v>
      </c>
      <c r="F1157" t="s">
        <v>5087</v>
      </c>
      <c r="H1157" t="s">
        <v>29</v>
      </c>
      <c r="I1157" t="s">
        <v>5093</v>
      </c>
    </row>
    <row r="1158" spans="1:9" x14ac:dyDescent="0.35">
      <c r="A1158" t="s">
        <v>5095</v>
      </c>
      <c r="B1158" t="str">
        <f>"9780299232634"</f>
        <v>9780299232634</v>
      </c>
      <c r="C1158" t="s">
        <v>5100</v>
      </c>
      <c r="D1158" t="s">
        <v>5098</v>
      </c>
      <c r="E1158" t="s">
        <v>5096</v>
      </c>
      <c r="F1158" t="s">
        <v>5097</v>
      </c>
      <c r="H1158" t="s">
        <v>29</v>
      </c>
      <c r="I1158" t="s">
        <v>5099</v>
      </c>
    </row>
    <row r="1159" spans="1:9" x14ac:dyDescent="0.35">
      <c r="A1159" t="s">
        <v>5101</v>
      </c>
      <c r="B1159" t="str">
        <f>"9780299236434"</f>
        <v>9780299236434</v>
      </c>
      <c r="C1159" t="s">
        <v>5105</v>
      </c>
      <c r="D1159" t="s">
        <v>5103</v>
      </c>
      <c r="E1159" t="s">
        <v>5096</v>
      </c>
      <c r="F1159" t="s">
        <v>5102</v>
      </c>
      <c r="H1159" t="s">
        <v>82</v>
      </c>
      <c r="I1159" t="s">
        <v>5104</v>
      </c>
    </row>
    <row r="1160" spans="1:9" x14ac:dyDescent="0.35">
      <c r="A1160" t="s">
        <v>5106</v>
      </c>
      <c r="B1160" t="str">
        <f>"9781925022353"</f>
        <v>9781925022353</v>
      </c>
      <c r="C1160" t="s">
        <v>5110</v>
      </c>
      <c r="D1160" t="s">
        <v>5108</v>
      </c>
      <c r="E1160" t="s">
        <v>5107</v>
      </c>
      <c r="H1160" t="s">
        <v>111</v>
      </c>
      <c r="I1160" t="s">
        <v>5109</v>
      </c>
    </row>
    <row r="1161" spans="1:9" x14ac:dyDescent="0.35">
      <c r="A1161" t="s">
        <v>5111</v>
      </c>
      <c r="B1161" t="str">
        <f>"9781925021899"</f>
        <v>9781925021899</v>
      </c>
      <c r="C1161" t="s">
        <v>5115</v>
      </c>
      <c r="D1161" t="s">
        <v>5113</v>
      </c>
      <c r="E1161" t="s">
        <v>5107</v>
      </c>
      <c r="F1161" t="s">
        <v>5112</v>
      </c>
      <c r="H1161" t="s">
        <v>2835</v>
      </c>
      <c r="I1161" t="s">
        <v>5114</v>
      </c>
    </row>
    <row r="1162" spans="1:9" x14ac:dyDescent="0.35">
      <c r="A1162" t="s">
        <v>5116</v>
      </c>
      <c r="B1162" t="str">
        <f>"9781925021950"</f>
        <v>9781925021950</v>
      </c>
      <c r="C1162" t="s">
        <v>5119</v>
      </c>
      <c r="D1162" t="s">
        <v>5117</v>
      </c>
      <c r="E1162" t="s">
        <v>5107</v>
      </c>
      <c r="H1162" t="s">
        <v>111</v>
      </c>
      <c r="I1162" t="s">
        <v>5118</v>
      </c>
    </row>
    <row r="1163" spans="1:9" x14ac:dyDescent="0.35">
      <c r="A1163" t="s">
        <v>5120</v>
      </c>
      <c r="B1163" t="str">
        <f>"9781925022438"</f>
        <v>9781925022438</v>
      </c>
      <c r="C1163" t="s">
        <v>5123</v>
      </c>
      <c r="D1163" t="s">
        <v>5121</v>
      </c>
      <c r="E1163" t="s">
        <v>5107</v>
      </c>
      <c r="H1163" t="s">
        <v>2835</v>
      </c>
      <c r="I1163" t="s">
        <v>5122</v>
      </c>
    </row>
    <row r="1164" spans="1:9" x14ac:dyDescent="0.35">
      <c r="A1164" t="s">
        <v>5124</v>
      </c>
      <c r="B1164" t="str">
        <f>"9781925022162"</f>
        <v>9781925022162</v>
      </c>
      <c r="C1164" t="s">
        <v>5127</v>
      </c>
      <c r="D1164" t="s">
        <v>5125</v>
      </c>
      <c r="E1164" t="s">
        <v>5107</v>
      </c>
      <c r="H1164" t="s">
        <v>111</v>
      </c>
      <c r="I1164" t="s">
        <v>5126</v>
      </c>
    </row>
    <row r="1165" spans="1:9" x14ac:dyDescent="0.35">
      <c r="A1165" t="s">
        <v>5128</v>
      </c>
      <c r="B1165" t="str">
        <f>"9781868147090"</f>
        <v>9781868147090</v>
      </c>
      <c r="C1165" t="s">
        <v>5132</v>
      </c>
      <c r="D1165" t="s">
        <v>5130</v>
      </c>
      <c r="E1165" t="s">
        <v>5129</v>
      </c>
      <c r="H1165" t="s">
        <v>82</v>
      </c>
      <c r="I1165" t="s">
        <v>5131</v>
      </c>
    </row>
    <row r="1166" spans="1:9" x14ac:dyDescent="0.35">
      <c r="A1166" t="s">
        <v>5133</v>
      </c>
      <c r="B1166" t="str">
        <f>"9780826265418"</f>
        <v>9780826265418</v>
      </c>
      <c r="C1166" t="s">
        <v>5136</v>
      </c>
      <c r="D1166" t="s">
        <v>5134</v>
      </c>
      <c r="E1166" t="s">
        <v>4426</v>
      </c>
      <c r="H1166" t="s">
        <v>23</v>
      </c>
      <c r="I1166" t="s">
        <v>5135</v>
      </c>
    </row>
    <row r="1167" spans="1:9" x14ac:dyDescent="0.35">
      <c r="A1167" t="s">
        <v>5137</v>
      </c>
      <c r="B1167" t="str">
        <f>"9780826266613"</f>
        <v>9780826266613</v>
      </c>
      <c r="C1167" t="s">
        <v>5140</v>
      </c>
      <c r="D1167" t="s">
        <v>5138</v>
      </c>
      <c r="E1167" t="s">
        <v>4426</v>
      </c>
      <c r="F1167" t="s">
        <v>4431</v>
      </c>
      <c r="H1167" t="s">
        <v>29</v>
      </c>
      <c r="I1167" t="s">
        <v>5139</v>
      </c>
    </row>
    <row r="1168" spans="1:9" x14ac:dyDescent="0.35">
      <c r="A1168" t="s">
        <v>5141</v>
      </c>
      <c r="B1168" t="str">
        <f>"9781469624457"</f>
        <v>9781469624457</v>
      </c>
      <c r="C1168" t="s">
        <v>5143</v>
      </c>
      <c r="D1168" t="s">
        <v>764</v>
      </c>
      <c r="E1168" t="s">
        <v>438</v>
      </c>
      <c r="H1168" t="s">
        <v>265</v>
      </c>
      <c r="I1168" t="s">
        <v>5142</v>
      </c>
    </row>
    <row r="1169" spans="1:9" x14ac:dyDescent="0.35">
      <c r="A1169" t="s">
        <v>5144</v>
      </c>
      <c r="B1169" t="str">
        <f>"9780292797314"</f>
        <v>9780292797314</v>
      </c>
      <c r="C1169" t="s">
        <v>5147</v>
      </c>
      <c r="D1169" t="s">
        <v>5145</v>
      </c>
      <c r="E1169" t="s">
        <v>4603</v>
      </c>
      <c r="H1169" t="s">
        <v>2785</v>
      </c>
      <c r="I1169" t="s">
        <v>5146</v>
      </c>
    </row>
    <row r="1170" spans="1:9" x14ac:dyDescent="0.35">
      <c r="A1170" t="s">
        <v>5148</v>
      </c>
      <c r="B1170" t="str">
        <f>"9780292734999"</f>
        <v>9780292734999</v>
      </c>
      <c r="C1170" t="s">
        <v>5151</v>
      </c>
      <c r="D1170" t="s">
        <v>5149</v>
      </c>
      <c r="E1170" t="s">
        <v>4603</v>
      </c>
      <c r="F1170" t="s">
        <v>4802</v>
      </c>
      <c r="H1170" t="s">
        <v>29</v>
      </c>
      <c r="I1170" t="s">
        <v>5150</v>
      </c>
    </row>
    <row r="1171" spans="1:9" x14ac:dyDescent="0.35">
      <c r="A1171" t="s">
        <v>5152</v>
      </c>
      <c r="B1171" t="str">
        <f>"9780292768123"</f>
        <v>9780292768123</v>
      </c>
      <c r="C1171" t="s">
        <v>5155</v>
      </c>
      <c r="D1171" t="s">
        <v>5153</v>
      </c>
      <c r="E1171" t="s">
        <v>4603</v>
      </c>
      <c r="F1171" t="s">
        <v>4739</v>
      </c>
      <c r="H1171" t="s">
        <v>265</v>
      </c>
      <c r="I1171" t="s">
        <v>5154</v>
      </c>
    </row>
    <row r="1172" spans="1:9" x14ac:dyDescent="0.35">
      <c r="A1172" t="s">
        <v>5156</v>
      </c>
      <c r="B1172" t="str">
        <f>"9780253019653"</f>
        <v>9780253019653</v>
      </c>
      <c r="C1172" t="s">
        <v>5160</v>
      </c>
      <c r="D1172" t="s">
        <v>5158</v>
      </c>
      <c r="E1172" t="s">
        <v>69</v>
      </c>
      <c r="F1172" t="s">
        <v>5157</v>
      </c>
      <c r="H1172" t="s">
        <v>5159</v>
      </c>
    </row>
    <row r="1173" spans="1:9" x14ac:dyDescent="0.35">
      <c r="A1173" t="s">
        <v>5161</v>
      </c>
      <c r="B1173" t="str">
        <f>"9781925203578"</f>
        <v>9781925203578</v>
      </c>
      <c r="C1173" t="s">
        <v>5166</v>
      </c>
      <c r="D1173" t="s">
        <v>5164</v>
      </c>
      <c r="E1173" t="s">
        <v>5162</v>
      </c>
      <c r="F1173" t="s">
        <v>5163</v>
      </c>
      <c r="H1173" t="s">
        <v>111</v>
      </c>
      <c r="I1173" t="s">
        <v>5165</v>
      </c>
    </row>
    <row r="1174" spans="1:9" x14ac:dyDescent="0.35">
      <c r="A1174" t="s">
        <v>5167</v>
      </c>
      <c r="B1174" t="str">
        <f>"9780826337474"</f>
        <v>9780826337474</v>
      </c>
      <c r="C1174" t="s">
        <v>5170</v>
      </c>
      <c r="D1174" t="s">
        <v>5168</v>
      </c>
      <c r="E1174" t="s">
        <v>1874</v>
      </c>
      <c r="H1174" t="s">
        <v>29</v>
      </c>
      <c r="I1174" t="s">
        <v>5169</v>
      </c>
    </row>
    <row r="1175" spans="1:9" x14ac:dyDescent="0.35">
      <c r="A1175" t="s">
        <v>5171</v>
      </c>
      <c r="B1175" t="str">
        <f>"9780803278899"</f>
        <v>9780803278899</v>
      </c>
      <c r="C1175" t="s">
        <v>5174</v>
      </c>
      <c r="D1175" t="s">
        <v>5172</v>
      </c>
      <c r="E1175" t="s">
        <v>874</v>
      </c>
      <c r="H1175" t="s">
        <v>29</v>
      </c>
      <c r="I1175" t="s">
        <v>5173</v>
      </c>
    </row>
    <row r="1176" spans="1:9" x14ac:dyDescent="0.35">
      <c r="A1176" t="s">
        <v>5175</v>
      </c>
      <c r="B1176" t="str">
        <f>"9780761865049"</f>
        <v>9780761865049</v>
      </c>
      <c r="C1176" t="s">
        <v>5178</v>
      </c>
      <c r="D1176" t="s">
        <v>5176</v>
      </c>
      <c r="E1176" t="s">
        <v>463</v>
      </c>
      <c r="H1176" t="s">
        <v>29</v>
      </c>
      <c r="I1176" t="s">
        <v>5177</v>
      </c>
    </row>
    <row r="1177" spans="1:9" x14ac:dyDescent="0.35">
      <c r="A1177" t="s">
        <v>5179</v>
      </c>
      <c r="B1177" t="str">
        <f>"9780813055671"</f>
        <v>9780813055671</v>
      </c>
      <c r="C1177" t="s">
        <v>5182</v>
      </c>
      <c r="D1177" t="s">
        <v>5180</v>
      </c>
      <c r="E1177" t="s">
        <v>1227</v>
      </c>
      <c r="F1177" t="s">
        <v>1668</v>
      </c>
      <c r="H1177" t="s">
        <v>29</v>
      </c>
      <c r="I1177" t="s">
        <v>5181</v>
      </c>
    </row>
    <row r="1178" spans="1:9" x14ac:dyDescent="0.35">
      <c r="A1178" t="s">
        <v>5183</v>
      </c>
      <c r="B1178" t="str">
        <f>"9780813055657"</f>
        <v>9780813055657</v>
      </c>
      <c r="C1178" t="s">
        <v>5186</v>
      </c>
      <c r="D1178" t="s">
        <v>5184</v>
      </c>
      <c r="E1178" t="s">
        <v>1227</v>
      </c>
      <c r="F1178" t="s">
        <v>1668</v>
      </c>
      <c r="H1178" t="s">
        <v>29</v>
      </c>
      <c r="I1178" t="s">
        <v>5185</v>
      </c>
    </row>
    <row r="1179" spans="1:9" x14ac:dyDescent="0.35">
      <c r="A1179" t="s">
        <v>5187</v>
      </c>
      <c r="B1179" t="str">
        <f>"9781498510059"</f>
        <v>9781498510059</v>
      </c>
      <c r="C1179" t="s">
        <v>5191</v>
      </c>
      <c r="D1179" t="s">
        <v>5189</v>
      </c>
      <c r="E1179" t="s">
        <v>975</v>
      </c>
      <c r="F1179" t="s">
        <v>5188</v>
      </c>
      <c r="H1179" t="s">
        <v>3351</v>
      </c>
      <c r="I1179" t="s">
        <v>5190</v>
      </c>
    </row>
    <row r="1180" spans="1:9" x14ac:dyDescent="0.35">
      <c r="A1180" t="s">
        <v>5192</v>
      </c>
      <c r="B1180" t="str">
        <f>"9780826520999"</f>
        <v>9780826520999</v>
      </c>
      <c r="C1180" t="s">
        <v>5196</v>
      </c>
      <c r="D1180" t="s">
        <v>5194</v>
      </c>
      <c r="E1180" t="s">
        <v>5193</v>
      </c>
      <c r="H1180" t="s">
        <v>29</v>
      </c>
      <c r="I1180" t="s">
        <v>5195</v>
      </c>
    </row>
    <row r="1181" spans="1:9" x14ac:dyDescent="0.35">
      <c r="A1181" t="s">
        <v>5197</v>
      </c>
      <c r="B1181" t="str">
        <f>"9780295806273"</f>
        <v>9780295806273</v>
      </c>
      <c r="C1181" t="s">
        <v>5200</v>
      </c>
      <c r="D1181" t="s">
        <v>5198</v>
      </c>
      <c r="E1181" t="s">
        <v>4986</v>
      </c>
      <c r="H1181" t="s">
        <v>1483</v>
      </c>
      <c r="I1181" t="s">
        <v>5199</v>
      </c>
    </row>
    <row r="1182" spans="1:9" x14ac:dyDescent="0.35">
      <c r="A1182" t="s">
        <v>5201</v>
      </c>
      <c r="B1182" t="str">
        <f>"9780295806280"</f>
        <v>9780295806280</v>
      </c>
      <c r="C1182" t="s">
        <v>5204</v>
      </c>
      <c r="D1182" t="s">
        <v>5202</v>
      </c>
      <c r="E1182" t="s">
        <v>4986</v>
      </c>
      <c r="F1182" t="s">
        <v>5057</v>
      </c>
      <c r="H1182" t="s">
        <v>29</v>
      </c>
      <c r="I1182" t="s">
        <v>5203</v>
      </c>
    </row>
    <row r="1183" spans="1:9" x14ac:dyDescent="0.35">
      <c r="A1183" t="s">
        <v>5205</v>
      </c>
      <c r="B1183" t="str">
        <f>"9780817388515"</f>
        <v>9780817388515</v>
      </c>
      <c r="C1183" t="s">
        <v>5208</v>
      </c>
      <c r="D1183" t="s">
        <v>5206</v>
      </c>
      <c r="E1183" t="s">
        <v>269</v>
      </c>
      <c r="H1183" t="s">
        <v>29</v>
      </c>
      <c r="I1183" t="s">
        <v>5207</v>
      </c>
    </row>
    <row r="1184" spans="1:9" x14ac:dyDescent="0.35">
      <c r="A1184" t="s">
        <v>5209</v>
      </c>
      <c r="B1184" t="str">
        <f>"9781602232679"</f>
        <v>9781602232679</v>
      </c>
      <c r="C1184" t="s">
        <v>5212</v>
      </c>
      <c r="D1184" t="s">
        <v>5210</v>
      </c>
      <c r="E1184" t="s">
        <v>2750</v>
      </c>
      <c r="H1184" t="s">
        <v>12</v>
      </c>
      <c r="I1184" t="s">
        <v>5211</v>
      </c>
    </row>
    <row r="1185" spans="1:9" x14ac:dyDescent="0.35">
      <c r="A1185" t="s">
        <v>5213</v>
      </c>
      <c r="B1185" t="str">
        <f>"9780874178487"</f>
        <v>9780874178487</v>
      </c>
      <c r="C1185" t="s">
        <v>5217</v>
      </c>
      <c r="D1185" t="s">
        <v>5215</v>
      </c>
      <c r="E1185" t="s">
        <v>5214</v>
      </c>
      <c r="H1185" t="s">
        <v>233</v>
      </c>
      <c r="I1185" t="s">
        <v>5216</v>
      </c>
    </row>
    <row r="1186" spans="1:9" x14ac:dyDescent="0.35">
      <c r="A1186" t="s">
        <v>5218</v>
      </c>
      <c r="B1186" t="str">
        <f>"9780874179088"</f>
        <v>9780874179088</v>
      </c>
      <c r="C1186" t="s">
        <v>5220</v>
      </c>
      <c r="D1186" t="s">
        <v>914</v>
      </c>
      <c r="E1186" t="s">
        <v>5214</v>
      </c>
      <c r="H1186" t="s">
        <v>915</v>
      </c>
      <c r="I1186" t="s">
        <v>5219</v>
      </c>
    </row>
    <row r="1187" spans="1:9" x14ac:dyDescent="0.35">
      <c r="A1187" t="s">
        <v>5221</v>
      </c>
      <c r="B1187" t="str">
        <f>"9780874179163"</f>
        <v>9780874179163</v>
      </c>
      <c r="C1187" t="s">
        <v>5224</v>
      </c>
      <c r="D1187" t="s">
        <v>5222</v>
      </c>
      <c r="E1187" t="s">
        <v>5214</v>
      </c>
      <c r="H1187" t="s">
        <v>265</v>
      </c>
      <c r="I1187" t="s">
        <v>5223</v>
      </c>
    </row>
    <row r="1188" spans="1:9" x14ac:dyDescent="0.35">
      <c r="A1188" t="s">
        <v>5225</v>
      </c>
      <c r="B1188" t="str">
        <f>"9781469600772"</f>
        <v>9781469600772</v>
      </c>
      <c r="C1188" t="s">
        <v>5229</v>
      </c>
      <c r="D1188" t="s">
        <v>5227</v>
      </c>
      <c r="E1188" t="s">
        <v>438</v>
      </c>
      <c r="F1188" t="s">
        <v>5226</v>
      </c>
      <c r="H1188" t="s">
        <v>29</v>
      </c>
      <c r="I1188" t="s">
        <v>5228</v>
      </c>
    </row>
    <row r="1189" spans="1:9" x14ac:dyDescent="0.35">
      <c r="A1189" t="s">
        <v>5230</v>
      </c>
      <c r="B1189" t="str">
        <f>"9781469607962"</f>
        <v>9781469607962</v>
      </c>
      <c r="C1189" t="s">
        <v>5233</v>
      </c>
      <c r="D1189" t="s">
        <v>5231</v>
      </c>
      <c r="E1189" t="s">
        <v>438</v>
      </c>
      <c r="F1189" t="s">
        <v>5226</v>
      </c>
      <c r="H1189" t="s">
        <v>29</v>
      </c>
      <c r="I1189" t="s">
        <v>5232</v>
      </c>
    </row>
    <row r="1190" spans="1:9" x14ac:dyDescent="0.35">
      <c r="A1190" t="s">
        <v>5234</v>
      </c>
      <c r="B1190" t="str">
        <f>"9781469624822"</f>
        <v>9781469624822</v>
      </c>
      <c r="C1190" t="s">
        <v>5238</v>
      </c>
      <c r="D1190" t="s">
        <v>5236</v>
      </c>
      <c r="E1190" t="s">
        <v>438</v>
      </c>
      <c r="F1190" t="s">
        <v>5235</v>
      </c>
      <c r="H1190" t="s">
        <v>44</v>
      </c>
      <c r="I1190" t="s">
        <v>5237</v>
      </c>
    </row>
    <row r="1191" spans="1:9" x14ac:dyDescent="0.35">
      <c r="A1191" t="s">
        <v>5239</v>
      </c>
      <c r="B1191" t="str">
        <f>"9781782385653"</f>
        <v>9781782385653</v>
      </c>
      <c r="C1191" t="s">
        <v>5243</v>
      </c>
      <c r="D1191" t="s">
        <v>5241</v>
      </c>
      <c r="E1191" t="s">
        <v>1128</v>
      </c>
      <c r="F1191" t="s">
        <v>5240</v>
      </c>
      <c r="H1191" t="s">
        <v>82</v>
      </c>
      <c r="I1191" t="s">
        <v>5242</v>
      </c>
    </row>
    <row r="1192" spans="1:9" x14ac:dyDescent="0.35">
      <c r="A1192" t="s">
        <v>5244</v>
      </c>
      <c r="B1192" t="str">
        <f>"9781611176070"</f>
        <v>9781611176070</v>
      </c>
      <c r="C1192" t="s">
        <v>5247</v>
      </c>
      <c r="D1192" t="s">
        <v>5245</v>
      </c>
      <c r="E1192" t="s">
        <v>3000</v>
      </c>
      <c r="H1192" t="s">
        <v>29</v>
      </c>
      <c r="I1192" t="s">
        <v>5246</v>
      </c>
    </row>
    <row r="1193" spans="1:9" x14ac:dyDescent="0.35">
      <c r="A1193" t="s">
        <v>5248</v>
      </c>
      <c r="B1193" t="str">
        <f>"9781611176247"</f>
        <v>9781611176247</v>
      </c>
      <c r="C1193" t="s">
        <v>5252</v>
      </c>
      <c r="D1193" t="s">
        <v>5250</v>
      </c>
      <c r="E1193" t="s">
        <v>3000</v>
      </c>
      <c r="F1193" t="s">
        <v>5249</v>
      </c>
      <c r="H1193" t="s">
        <v>23</v>
      </c>
      <c r="I1193" t="s">
        <v>5251</v>
      </c>
    </row>
    <row r="1194" spans="1:9" x14ac:dyDescent="0.35">
      <c r="A1194" t="s">
        <v>5253</v>
      </c>
      <c r="B1194" t="str">
        <f>"9781452944661"</f>
        <v>9781452944661</v>
      </c>
      <c r="C1194" t="s">
        <v>5256</v>
      </c>
      <c r="D1194" t="s">
        <v>5254</v>
      </c>
      <c r="E1194" t="s">
        <v>119</v>
      </c>
      <c r="H1194" t="s">
        <v>29</v>
      </c>
      <c r="I1194" t="s">
        <v>5255</v>
      </c>
    </row>
    <row r="1195" spans="1:9" x14ac:dyDescent="0.35">
      <c r="A1195" t="s">
        <v>5257</v>
      </c>
      <c r="B1195" t="str">
        <f>"9781452944708"</f>
        <v>9781452944708</v>
      </c>
      <c r="C1195" t="s">
        <v>5261</v>
      </c>
      <c r="D1195" t="s">
        <v>5258</v>
      </c>
      <c r="E1195" t="s">
        <v>119</v>
      </c>
      <c r="H1195" t="s">
        <v>5259</v>
      </c>
      <c r="I1195" t="s">
        <v>5260</v>
      </c>
    </row>
    <row r="1196" spans="1:9" x14ac:dyDescent="0.35">
      <c r="A1196" t="s">
        <v>5262</v>
      </c>
      <c r="B1196" t="str">
        <f>"9781452945743"</f>
        <v>9781452945743</v>
      </c>
      <c r="C1196" t="s">
        <v>5265</v>
      </c>
      <c r="D1196" t="s">
        <v>5263</v>
      </c>
      <c r="E1196" t="s">
        <v>119</v>
      </c>
      <c r="H1196" t="s">
        <v>111</v>
      </c>
      <c r="I1196" t="s">
        <v>5264</v>
      </c>
    </row>
    <row r="1197" spans="1:9" x14ac:dyDescent="0.35">
      <c r="A1197" t="s">
        <v>5266</v>
      </c>
      <c r="B1197" t="str">
        <f>"9781452950020"</f>
        <v>9781452950020</v>
      </c>
      <c r="C1197" t="s">
        <v>5269</v>
      </c>
      <c r="D1197" t="s">
        <v>5267</v>
      </c>
      <c r="E1197" t="s">
        <v>119</v>
      </c>
      <c r="H1197" t="s">
        <v>201</v>
      </c>
      <c r="I1197" t="s">
        <v>5268</v>
      </c>
    </row>
    <row r="1198" spans="1:9" x14ac:dyDescent="0.35">
      <c r="A1198" t="s">
        <v>5270</v>
      </c>
      <c r="B1198" t="str">
        <f>"9781438457703"</f>
        <v>9781438457703</v>
      </c>
      <c r="C1198" t="s">
        <v>5273</v>
      </c>
      <c r="D1198" t="s">
        <v>5271</v>
      </c>
      <c r="E1198" t="s">
        <v>3753</v>
      </c>
      <c r="F1198" t="s">
        <v>3764</v>
      </c>
      <c r="H1198" t="s">
        <v>915</v>
      </c>
      <c r="I1198" t="s">
        <v>5272</v>
      </c>
    </row>
    <row r="1199" spans="1:9" x14ac:dyDescent="0.35">
      <c r="A1199" t="s">
        <v>5274</v>
      </c>
      <c r="B1199" t="str">
        <f>"9780820348476"</f>
        <v>9780820348476</v>
      </c>
      <c r="C1199" t="s">
        <v>5278</v>
      </c>
      <c r="D1199" t="s">
        <v>5276</v>
      </c>
      <c r="E1199" t="s">
        <v>2239</v>
      </c>
      <c r="F1199" t="s">
        <v>5275</v>
      </c>
      <c r="H1199" t="s">
        <v>298</v>
      </c>
      <c r="I1199" t="s">
        <v>5277</v>
      </c>
    </row>
    <row r="1200" spans="1:9" x14ac:dyDescent="0.35">
      <c r="A1200" t="s">
        <v>5279</v>
      </c>
      <c r="B1200" t="str">
        <f>"9781783601998"</f>
        <v>9781783601998</v>
      </c>
      <c r="C1200" t="s">
        <v>5282</v>
      </c>
      <c r="D1200" t="s">
        <v>5280</v>
      </c>
      <c r="E1200" t="s">
        <v>602</v>
      </c>
      <c r="H1200" t="s">
        <v>55</v>
      </c>
      <c r="I1200" t="s">
        <v>5281</v>
      </c>
    </row>
    <row r="1201" spans="1:9" x14ac:dyDescent="0.35">
      <c r="A1201" t="s">
        <v>5283</v>
      </c>
      <c r="B1201" t="str">
        <f>"9781925022537"</f>
        <v>9781925022537</v>
      </c>
      <c r="C1201" t="s">
        <v>5287</v>
      </c>
      <c r="D1201" t="s">
        <v>5285</v>
      </c>
      <c r="E1201" t="s">
        <v>5107</v>
      </c>
      <c r="F1201" t="s">
        <v>5284</v>
      </c>
      <c r="H1201" t="s">
        <v>29</v>
      </c>
      <c r="I1201" t="s">
        <v>5286</v>
      </c>
    </row>
    <row r="1202" spans="1:9" x14ac:dyDescent="0.35">
      <c r="A1202" t="s">
        <v>5288</v>
      </c>
      <c r="B1202" t="str">
        <f>"9781421402628"</f>
        <v>9781421402628</v>
      </c>
      <c r="C1202" t="s">
        <v>5291</v>
      </c>
      <c r="D1202" t="s">
        <v>5289</v>
      </c>
      <c r="E1202" t="s">
        <v>3468</v>
      </c>
      <c r="H1202" t="s">
        <v>1054</v>
      </c>
      <c r="I1202" t="s">
        <v>5290</v>
      </c>
    </row>
    <row r="1203" spans="1:9" x14ac:dyDescent="0.35">
      <c r="A1203" t="s">
        <v>5292</v>
      </c>
      <c r="B1203" t="str">
        <f>"9781421404219"</f>
        <v>9781421404219</v>
      </c>
      <c r="C1203" t="s">
        <v>5295</v>
      </c>
      <c r="D1203" t="s">
        <v>5293</v>
      </c>
      <c r="E1203" t="s">
        <v>3468</v>
      </c>
      <c r="H1203" t="s">
        <v>459</v>
      </c>
      <c r="I1203" t="s">
        <v>5294</v>
      </c>
    </row>
    <row r="1204" spans="1:9" x14ac:dyDescent="0.35">
      <c r="A1204" t="s">
        <v>5296</v>
      </c>
      <c r="B1204" t="str">
        <f>"9781421418063"</f>
        <v>9781421418063</v>
      </c>
      <c r="C1204" t="s">
        <v>5300</v>
      </c>
      <c r="D1204" t="s">
        <v>5298</v>
      </c>
      <c r="E1204" t="s">
        <v>3468</v>
      </c>
      <c r="F1204" t="s">
        <v>5297</v>
      </c>
      <c r="H1204" t="s">
        <v>29</v>
      </c>
      <c r="I1204" t="s">
        <v>5299</v>
      </c>
    </row>
    <row r="1205" spans="1:9" x14ac:dyDescent="0.35">
      <c r="A1205" t="s">
        <v>5301</v>
      </c>
      <c r="B1205" t="str">
        <f>"9781469608150"</f>
        <v>9781469608150</v>
      </c>
      <c r="C1205" t="s">
        <v>5304</v>
      </c>
      <c r="D1205" t="s">
        <v>5302</v>
      </c>
      <c r="E1205" t="s">
        <v>438</v>
      </c>
      <c r="H1205" t="s">
        <v>82</v>
      </c>
      <c r="I1205" t="s">
        <v>5303</v>
      </c>
    </row>
    <row r="1206" spans="1:9" x14ac:dyDescent="0.35">
      <c r="A1206" t="s">
        <v>5305</v>
      </c>
      <c r="B1206" t="str">
        <f>"9781477300527"</f>
        <v>9781477300527</v>
      </c>
      <c r="C1206" t="s">
        <v>5309</v>
      </c>
      <c r="D1206" t="s">
        <v>5307</v>
      </c>
      <c r="E1206" t="s">
        <v>4603</v>
      </c>
      <c r="F1206" t="s">
        <v>5306</v>
      </c>
      <c r="H1206" t="s">
        <v>29</v>
      </c>
      <c r="I1206" t="s">
        <v>5308</v>
      </c>
    </row>
    <row r="1207" spans="1:9" x14ac:dyDescent="0.35">
      <c r="A1207" t="s">
        <v>5310</v>
      </c>
      <c r="B1207" t="str">
        <f>"9780816532292"</f>
        <v>9780816532292</v>
      </c>
      <c r="C1207" t="s">
        <v>5313</v>
      </c>
      <c r="D1207" t="s">
        <v>5311</v>
      </c>
      <c r="E1207" t="s">
        <v>3875</v>
      </c>
      <c r="H1207" t="s">
        <v>29</v>
      </c>
      <c r="I1207" t="s">
        <v>5312</v>
      </c>
    </row>
    <row r="1208" spans="1:9" x14ac:dyDescent="0.35">
      <c r="A1208" t="s">
        <v>5314</v>
      </c>
      <c r="B1208" t="str">
        <f>"9780816533572"</f>
        <v>9780816533572</v>
      </c>
      <c r="C1208" t="s">
        <v>5317</v>
      </c>
      <c r="D1208" t="s">
        <v>5315</v>
      </c>
      <c r="E1208" t="s">
        <v>3875</v>
      </c>
      <c r="H1208" t="s">
        <v>2785</v>
      </c>
      <c r="I1208" t="s">
        <v>5316</v>
      </c>
    </row>
    <row r="1209" spans="1:9" x14ac:dyDescent="0.35">
      <c r="A1209" t="s">
        <v>5318</v>
      </c>
      <c r="B1209" t="str">
        <f>"9780816533732"</f>
        <v>9780816533732</v>
      </c>
      <c r="C1209" t="s">
        <v>5321</v>
      </c>
      <c r="D1209" t="s">
        <v>5319</v>
      </c>
      <c r="E1209" t="s">
        <v>3875</v>
      </c>
      <c r="H1209" t="s">
        <v>201</v>
      </c>
      <c r="I1209" t="s">
        <v>5320</v>
      </c>
    </row>
    <row r="1210" spans="1:9" x14ac:dyDescent="0.35">
      <c r="A1210" t="s">
        <v>5322</v>
      </c>
      <c r="B1210" t="str">
        <f>"9781609174750"</f>
        <v>9781609174750</v>
      </c>
      <c r="C1210" t="s">
        <v>5325</v>
      </c>
      <c r="D1210" t="s">
        <v>5323</v>
      </c>
      <c r="E1210" t="s">
        <v>3640</v>
      </c>
      <c r="H1210" t="s">
        <v>29</v>
      </c>
      <c r="I1210" t="s">
        <v>5324</v>
      </c>
    </row>
    <row r="1211" spans="1:9" x14ac:dyDescent="0.35">
      <c r="A1211" t="s">
        <v>5326</v>
      </c>
      <c r="B1211" t="str">
        <f>"9781317006312"</f>
        <v>9781317006312</v>
      </c>
      <c r="C1211" t="s">
        <v>5330</v>
      </c>
      <c r="D1211" t="s">
        <v>5328</v>
      </c>
      <c r="E1211" t="s">
        <v>9</v>
      </c>
      <c r="F1211" t="s">
        <v>5327</v>
      </c>
      <c r="H1211" t="s">
        <v>233</v>
      </c>
      <c r="I1211" t="s">
        <v>5329</v>
      </c>
    </row>
    <row r="1212" spans="1:9" x14ac:dyDescent="0.35">
      <c r="A1212" t="s">
        <v>5331</v>
      </c>
      <c r="B1212" t="str">
        <f>"9781621901167"</f>
        <v>9781621901167</v>
      </c>
      <c r="C1212" t="s">
        <v>5334</v>
      </c>
      <c r="D1212" t="s">
        <v>5332</v>
      </c>
      <c r="E1212" t="s">
        <v>1190</v>
      </c>
      <c r="H1212" t="s">
        <v>29</v>
      </c>
      <c r="I1212" t="s">
        <v>5333</v>
      </c>
    </row>
    <row r="1213" spans="1:9" x14ac:dyDescent="0.35">
      <c r="A1213" t="s">
        <v>5335</v>
      </c>
      <c r="B1213" t="str">
        <f>"9781602232945"</f>
        <v>9781602232945</v>
      </c>
      <c r="C1213" t="s">
        <v>5338</v>
      </c>
      <c r="D1213" t="s">
        <v>5336</v>
      </c>
      <c r="E1213" t="s">
        <v>2750</v>
      </c>
      <c r="H1213" t="s">
        <v>1866</v>
      </c>
      <c r="I1213" t="s">
        <v>5337</v>
      </c>
    </row>
    <row r="1214" spans="1:9" x14ac:dyDescent="0.35">
      <c r="A1214" t="s">
        <v>5339</v>
      </c>
      <c r="B1214" t="str">
        <f>"9789088903359"</f>
        <v>9789088903359</v>
      </c>
      <c r="C1214" t="s">
        <v>5342</v>
      </c>
      <c r="D1214" t="s">
        <v>5340</v>
      </c>
      <c r="E1214" t="s">
        <v>2098</v>
      </c>
      <c r="F1214" t="s">
        <v>2189</v>
      </c>
      <c r="H1214" t="s">
        <v>82</v>
      </c>
      <c r="I1214" t="s">
        <v>5341</v>
      </c>
    </row>
    <row r="1215" spans="1:9" x14ac:dyDescent="0.35">
      <c r="A1215" t="s">
        <v>5343</v>
      </c>
      <c r="B1215" t="str">
        <f>"9789088903540"</f>
        <v>9789088903540</v>
      </c>
      <c r="C1215" t="s">
        <v>5346</v>
      </c>
      <c r="D1215" t="s">
        <v>5344</v>
      </c>
      <c r="E1215" t="s">
        <v>2098</v>
      </c>
      <c r="H1215" t="s">
        <v>82</v>
      </c>
      <c r="I1215" t="s">
        <v>5345</v>
      </c>
    </row>
    <row r="1216" spans="1:9" x14ac:dyDescent="0.35">
      <c r="A1216" t="s">
        <v>5347</v>
      </c>
      <c r="B1216" t="str">
        <f>"9789088903601"</f>
        <v>9789088903601</v>
      </c>
      <c r="C1216" t="s">
        <v>5350</v>
      </c>
      <c r="D1216" t="s">
        <v>5348</v>
      </c>
      <c r="E1216" t="s">
        <v>2098</v>
      </c>
      <c r="H1216" t="s">
        <v>29</v>
      </c>
      <c r="I1216" t="s">
        <v>5349</v>
      </c>
    </row>
    <row r="1217" spans="1:9" x14ac:dyDescent="0.35">
      <c r="A1217" t="s">
        <v>5351</v>
      </c>
      <c r="B1217" t="str">
        <f>"9781925022803"</f>
        <v>9781925022803</v>
      </c>
      <c r="C1217" t="s">
        <v>5354</v>
      </c>
      <c r="D1217" t="s">
        <v>1795</v>
      </c>
      <c r="E1217" t="s">
        <v>5107</v>
      </c>
      <c r="F1217" t="s">
        <v>5284</v>
      </c>
      <c r="H1217" t="s">
        <v>5352</v>
      </c>
      <c r="I1217" t="s">
        <v>5353</v>
      </c>
    </row>
    <row r="1218" spans="1:9" x14ac:dyDescent="0.35">
      <c r="A1218" t="s">
        <v>5355</v>
      </c>
      <c r="B1218" t="str">
        <f>"9781925022902"</f>
        <v>9781925022902</v>
      </c>
      <c r="C1218" t="s">
        <v>5359</v>
      </c>
      <c r="D1218" t="s">
        <v>5357</v>
      </c>
      <c r="E1218" t="s">
        <v>5107</v>
      </c>
      <c r="F1218" t="s">
        <v>5356</v>
      </c>
      <c r="H1218" t="s">
        <v>82</v>
      </c>
      <c r="I1218" t="s">
        <v>5358</v>
      </c>
    </row>
    <row r="1219" spans="1:9" x14ac:dyDescent="0.35">
      <c r="A1219" t="s">
        <v>5360</v>
      </c>
      <c r="B1219" t="str">
        <f>"9780816533688"</f>
        <v>9780816533688</v>
      </c>
      <c r="C1219" t="s">
        <v>5363</v>
      </c>
      <c r="D1219" t="s">
        <v>5361</v>
      </c>
      <c r="E1219" t="s">
        <v>3875</v>
      </c>
      <c r="H1219" t="s">
        <v>29</v>
      </c>
      <c r="I1219" t="s">
        <v>5362</v>
      </c>
    </row>
    <row r="1220" spans="1:9" x14ac:dyDescent="0.35">
      <c r="A1220" t="s">
        <v>5364</v>
      </c>
      <c r="B1220" t="str">
        <f>"9780816533787"</f>
        <v>9780816533787</v>
      </c>
      <c r="C1220" t="s">
        <v>5367</v>
      </c>
      <c r="D1220" t="s">
        <v>5365</v>
      </c>
      <c r="E1220" t="s">
        <v>3875</v>
      </c>
      <c r="F1220" t="s">
        <v>4022</v>
      </c>
      <c r="H1220" t="s">
        <v>82</v>
      </c>
      <c r="I1220" t="s">
        <v>5366</v>
      </c>
    </row>
    <row r="1221" spans="1:9" x14ac:dyDescent="0.35">
      <c r="A1221" t="s">
        <v>5368</v>
      </c>
      <c r="B1221" t="str">
        <f>"9780816533794"</f>
        <v>9780816533794</v>
      </c>
      <c r="C1221" t="s">
        <v>5371</v>
      </c>
      <c r="D1221" t="s">
        <v>5369</v>
      </c>
      <c r="E1221" t="s">
        <v>3875</v>
      </c>
      <c r="H1221" t="s">
        <v>29</v>
      </c>
      <c r="I1221" t="s">
        <v>5370</v>
      </c>
    </row>
    <row r="1222" spans="1:9" x14ac:dyDescent="0.35">
      <c r="A1222" t="s">
        <v>5372</v>
      </c>
      <c r="B1222" t="str">
        <f>"9780813055909"</f>
        <v>9780813055909</v>
      </c>
      <c r="C1222" t="s">
        <v>5375</v>
      </c>
      <c r="D1222" t="s">
        <v>5373</v>
      </c>
      <c r="E1222" t="s">
        <v>1227</v>
      </c>
      <c r="H1222" t="s">
        <v>29</v>
      </c>
      <c r="I1222" t="s">
        <v>5374</v>
      </c>
    </row>
    <row r="1223" spans="1:9" x14ac:dyDescent="0.35">
      <c r="A1223" t="s">
        <v>5376</v>
      </c>
      <c r="B1223" t="str">
        <f>"9780803286979"</f>
        <v>9780803286979</v>
      </c>
      <c r="C1223" t="s">
        <v>5379</v>
      </c>
      <c r="D1223" t="s">
        <v>5377</v>
      </c>
      <c r="E1223" t="s">
        <v>874</v>
      </c>
      <c r="H1223" t="s">
        <v>1866</v>
      </c>
      <c r="I1223" t="s">
        <v>5378</v>
      </c>
    </row>
    <row r="1224" spans="1:9" x14ac:dyDescent="0.35">
      <c r="A1224" t="s">
        <v>5380</v>
      </c>
      <c r="B1224" t="str">
        <f>"9780813055961"</f>
        <v>9780813055961</v>
      </c>
      <c r="C1224" t="s">
        <v>5383</v>
      </c>
      <c r="D1224" t="s">
        <v>1368</v>
      </c>
      <c r="E1224" t="s">
        <v>1227</v>
      </c>
      <c r="F1224" t="s">
        <v>5381</v>
      </c>
      <c r="H1224" t="s">
        <v>29</v>
      </c>
      <c r="I1224" t="s">
        <v>5382</v>
      </c>
    </row>
    <row r="1225" spans="1:9" x14ac:dyDescent="0.35">
      <c r="A1225" t="s">
        <v>5384</v>
      </c>
      <c r="B1225" t="str">
        <f>"9781501704802"</f>
        <v>9781501704802</v>
      </c>
      <c r="C1225" t="s">
        <v>5387</v>
      </c>
      <c r="D1225" t="s">
        <v>5385</v>
      </c>
      <c r="E1225" t="s">
        <v>3390</v>
      </c>
      <c r="H1225" t="s">
        <v>29</v>
      </c>
      <c r="I1225" t="s">
        <v>5386</v>
      </c>
    </row>
    <row r="1226" spans="1:9" x14ac:dyDescent="0.35">
      <c r="A1226" t="s">
        <v>5388</v>
      </c>
      <c r="B1226" t="str">
        <f>"9781452953182"</f>
        <v>9781452953182</v>
      </c>
      <c r="C1226" t="s">
        <v>5391</v>
      </c>
      <c r="D1226" t="s">
        <v>5389</v>
      </c>
      <c r="E1226" t="s">
        <v>119</v>
      </c>
      <c r="F1226" t="s">
        <v>120</v>
      </c>
      <c r="H1226" t="s">
        <v>29</v>
      </c>
      <c r="I1226" t="s">
        <v>5390</v>
      </c>
    </row>
    <row r="1227" spans="1:9" x14ac:dyDescent="0.35">
      <c r="A1227" t="s">
        <v>5392</v>
      </c>
      <c r="B1227" t="str">
        <f>"9781613762882"</f>
        <v>9781613762882</v>
      </c>
      <c r="C1227" t="s">
        <v>5397</v>
      </c>
      <c r="D1227" t="s">
        <v>5394</v>
      </c>
      <c r="E1227" t="s">
        <v>5393</v>
      </c>
      <c r="H1227" t="s">
        <v>5395</v>
      </c>
      <c r="I1227" t="s">
        <v>5396</v>
      </c>
    </row>
    <row r="1228" spans="1:9" x14ac:dyDescent="0.35">
      <c r="A1228" t="s">
        <v>5398</v>
      </c>
      <c r="B1228" t="str">
        <f>"9780813055855"</f>
        <v>9780813055855</v>
      </c>
      <c r="C1228" t="s">
        <v>5401</v>
      </c>
      <c r="D1228" t="s">
        <v>5399</v>
      </c>
      <c r="E1228" t="s">
        <v>1227</v>
      </c>
      <c r="F1228" t="s">
        <v>1668</v>
      </c>
      <c r="H1228" t="s">
        <v>29</v>
      </c>
      <c r="I1228" t="s">
        <v>5400</v>
      </c>
    </row>
    <row r="1229" spans="1:9" x14ac:dyDescent="0.35">
      <c r="A1229" t="s">
        <v>5402</v>
      </c>
      <c r="B1229" t="str">
        <f>"9781613760000"</f>
        <v>9781613760000</v>
      </c>
      <c r="C1229" t="s">
        <v>5406</v>
      </c>
      <c r="D1229" t="s">
        <v>5404</v>
      </c>
      <c r="E1229" t="s">
        <v>5393</v>
      </c>
      <c r="F1229" t="s">
        <v>5403</v>
      </c>
      <c r="H1229" t="s">
        <v>29</v>
      </c>
      <c r="I1229" t="s">
        <v>5405</v>
      </c>
    </row>
    <row r="1230" spans="1:9" x14ac:dyDescent="0.35">
      <c r="A1230" t="s">
        <v>5407</v>
      </c>
      <c r="B1230" t="str">
        <f>"9781613761717"</f>
        <v>9781613761717</v>
      </c>
      <c r="C1230" t="s">
        <v>5410</v>
      </c>
      <c r="D1230" t="s">
        <v>5408</v>
      </c>
      <c r="E1230" t="s">
        <v>5393</v>
      </c>
      <c r="F1230" t="s">
        <v>5403</v>
      </c>
      <c r="H1230" t="s">
        <v>29</v>
      </c>
      <c r="I1230" t="s">
        <v>5409</v>
      </c>
    </row>
    <row r="1231" spans="1:9" x14ac:dyDescent="0.35">
      <c r="A1231" t="s">
        <v>5411</v>
      </c>
      <c r="B1231" t="str">
        <f>"9781613763049"</f>
        <v>9781613763049</v>
      </c>
      <c r="C1231" t="s">
        <v>5413</v>
      </c>
      <c r="D1231" t="s">
        <v>3359</v>
      </c>
      <c r="E1231" t="s">
        <v>5393</v>
      </c>
      <c r="F1231" t="s">
        <v>5403</v>
      </c>
      <c r="H1231" t="s">
        <v>2785</v>
      </c>
      <c r="I1231" t="s">
        <v>5412</v>
      </c>
    </row>
    <row r="1232" spans="1:9" x14ac:dyDescent="0.35">
      <c r="A1232" t="s">
        <v>5414</v>
      </c>
      <c r="B1232" t="str">
        <f>"9781443881272"</f>
        <v>9781443881272</v>
      </c>
      <c r="C1232" t="s">
        <v>5418</v>
      </c>
      <c r="D1232" t="s">
        <v>5415</v>
      </c>
      <c r="E1232" t="s">
        <v>1829</v>
      </c>
      <c r="H1232" t="s">
        <v>5416</v>
      </c>
      <c r="I1232" t="s">
        <v>5417</v>
      </c>
    </row>
    <row r="1233" spans="1:9" x14ac:dyDescent="0.35">
      <c r="A1233" t="s">
        <v>5419</v>
      </c>
      <c r="B1233" t="str">
        <f>"9780773599109"</f>
        <v>9780773599109</v>
      </c>
      <c r="C1233" t="s">
        <v>5422</v>
      </c>
      <c r="D1233" t="s">
        <v>5420</v>
      </c>
      <c r="E1233" t="s">
        <v>3489</v>
      </c>
      <c r="H1233" t="s">
        <v>2665</v>
      </c>
      <c r="I1233" t="s">
        <v>5421</v>
      </c>
    </row>
    <row r="1234" spans="1:9" x14ac:dyDescent="0.35">
      <c r="A1234" t="s">
        <v>5423</v>
      </c>
      <c r="B1234" t="str">
        <f>"9781501703935"</f>
        <v>9781501703935</v>
      </c>
      <c r="C1234" t="s">
        <v>5426</v>
      </c>
      <c r="D1234" t="s">
        <v>5424</v>
      </c>
      <c r="E1234" t="s">
        <v>3390</v>
      </c>
      <c r="H1234" t="s">
        <v>82</v>
      </c>
      <c r="I1234" t="s">
        <v>5425</v>
      </c>
    </row>
    <row r="1235" spans="1:9" x14ac:dyDescent="0.35">
      <c r="A1235" t="s">
        <v>5427</v>
      </c>
      <c r="B1235" t="str">
        <f>"9781607813545"</f>
        <v>9781607813545</v>
      </c>
      <c r="C1235" t="s">
        <v>5430</v>
      </c>
      <c r="D1235" t="s">
        <v>5428</v>
      </c>
      <c r="E1235" t="s">
        <v>4846</v>
      </c>
      <c r="H1235" t="s">
        <v>147</v>
      </c>
      <c r="I1235" t="s">
        <v>5429</v>
      </c>
    </row>
    <row r="1236" spans="1:9" x14ac:dyDescent="0.35">
      <c r="A1236" t="s">
        <v>5431</v>
      </c>
      <c r="B1236" t="str">
        <f>"9781607814177"</f>
        <v>9781607814177</v>
      </c>
      <c r="C1236" t="s">
        <v>5434</v>
      </c>
      <c r="D1236" t="s">
        <v>5432</v>
      </c>
      <c r="E1236" t="s">
        <v>4846</v>
      </c>
      <c r="H1236" t="s">
        <v>29</v>
      </c>
      <c r="I1236" t="s">
        <v>5433</v>
      </c>
    </row>
    <row r="1237" spans="1:9" x14ac:dyDescent="0.35">
      <c r="A1237" t="s">
        <v>5435</v>
      </c>
      <c r="B1237" t="str">
        <f>"9781607814412"</f>
        <v>9781607814412</v>
      </c>
      <c r="C1237" t="s">
        <v>5438</v>
      </c>
      <c r="D1237" t="s">
        <v>5436</v>
      </c>
      <c r="E1237" t="s">
        <v>4846</v>
      </c>
      <c r="H1237" t="s">
        <v>29</v>
      </c>
      <c r="I1237" t="s">
        <v>5437</v>
      </c>
    </row>
    <row r="1238" spans="1:9" x14ac:dyDescent="0.35">
      <c r="A1238" t="s">
        <v>5439</v>
      </c>
      <c r="B1238" t="str">
        <f>"9781760460044"</f>
        <v>9781760460044</v>
      </c>
      <c r="C1238" t="s">
        <v>5442</v>
      </c>
      <c r="D1238" t="s">
        <v>5440</v>
      </c>
      <c r="E1238" t="s">
        <v>5107</v>
      </c>
      <c r="F1238" t="s">
        <v>5112</v>
      </c>
      <c r="H1238" t="s">
        <v>111</v>
      </c>
      <c r="I1238" t="s">
        <v>5441</v>
      </c>
    </row>
    <row r="1239" spans="1:9" x14ac:dyDescent="0.35">
      <c r="A1239" t="s">
        <v>5443</v>
      </c>
      <c r="B1239" t="str">
        <f>"9781925022889"</f>
        <v>9781925022889</v>
      </c>
      <c r="C1239" t="s">
        <v>5447</v>
      </c>
      <c r="D1239" t="s">
        <v>5445</v>
      </c>
      <c r="E1239" t="s">
        <v>5107</v>
      </c>
      <c r="F1239" t="s">
        <v>5444</v>
      </c>
      <c r="H1239" t="s">
        <v>111</v>
      </c>
      <c r="I1239" t="s">
        <v>5446</v>
      </c>
    </row>
    <row r="1240" spans="1:9" x14ac:dyDescent="0.35">
      <c r="A1240" t="s">
        <v>5448</v>
      </c>
      <c r="B1240" t="str">
        <f>"9781925021639"</f>
        <v>9781925021639</v>
      </c>
      <c r="C1240" t="s">
        <v>5451</v>
      </c>
      <c r="D1240" t="s">
        <v>5449</v>
      </c>
      <c r="E1240" t="s">
        <v>5107</v>
      </c>
      <c r="F1240" t="s">
        <v>5284</v>
      </c>
      <c r="H1240" t="s">
        <v>1283</v>
      </c>
      <c r="I1240" t="s">
        <v>5450</v>
      </c>
    </row>
    <row r="1241" spans="1:9" x14ac:dyDescent="0.35">
      <c r="A1241" t="s">
        <v>5452</v>
      </c>
      <c r="B1241" t="str">
        <f>"9780816533947"</f>
        <v>9780816533947</v>
      </c>
      <c r="C1241" t="s">
        <v>5455</v>
      </c>
      <c r="D1241" t="s">
        <v>5453</v>
      </c>
      <c r="E1241" t="s">
        <v>3875</v>
      </c>
      <c r="H1241" t="s">
        <v>29</v>
      </c>
      <c r="I1241" t="s">
        <v>5454</v>
      </c>
    </row>
    <row r="1242" spans="1:9" x14ac:dyDescent="0.35">
      <c r="A1242" t="s">
        <v>5456</v>
      </c>
      <c r="B1242" t="str">
        <f>"9781922144973"</f>
        <v>9781922144973</v>
      </c>
      <c r="C1242" t="s">
        <v>5459</v>
      </c>
      <c r="D1242" t="s">
        <v>5457</v>
      </c>
      <c r="E1242" t="s">
        <v>5107</v>
      </c>
      <c r="H1242" t="s">
        <v>29</v>
      </c>
      <c r="I1242" t="s">
        <v>5458</v>
      </c>
    </row>
    <row r="1243" spans="1:9" x14ac:dyDescent="0.35">
      <c r="A1243" t="s">
        <v>5460</v>
      </c>
      <c r="B1243" t="str">
        <f>"9781315428598"</f>
        <v>9781315428598</v>
      </c>
      <c r="C1243" t="s">
        <v>5463</v>
      </c>
      <c r="D1243" t="s">
        <v>5461</v>
      </c>
      <c r="E1243" t="s">
        <v>9</v>
      </c>
      <c r="H1243" t="s">
        <v>29</v>
      </c>
      <c r="I1243" t="s">
        <v>5462</v>
      </c>
    </row>
    <row r="1244" spans="1:9" x14ac:dyDescent="0.35">
      <c r="A1244" t="s">
        <v>5464</v>
      </c>
      <c r="B1244" t="str">
        <f>"9781743324844"</f>
        <v>9781743324844</v>
      </c>
      <c r="C1244" t="s">
        <v>5469</v>
      </c>
      <c r="D1244" t="s">
        <v>5466</v>
      </c>
      <c r="E1244" t="s">
        <v>5465</v>
      </c>
      <c r="H1244" t="s">
        <v>5467</v>
      </c>
      <c r="I1244" t="s">
        <v>5468</v>
      </c>
    </row>
    <row r="1245" spans="1:9" x14ac:dyDescent="0.35">
      <c r="A1245" t="s">
        <v>5470</v>
      </c>
      <c r="B1245" t="str">
        <f>"9783110363234"</f>
        <v>9783110363234</v>
      </c>
      <c r="C1245" t="s">
        <v>5475</v>
      </c>
      <c r="D1245" t="s">
        <v>5472</v>
      </c>
      <c r="E1245" t="s">
        <v>1175</v>
      </c>
      <c r="F1245" t="s">
        <v>5471</v>
      </c>
      <c r="H1245" t="s">
        <v>5473</v>
      </c>
      <c r="I1245" t="s">
        <v>5474</v>
      </c>
    </row>
    <row r="1246" spans="1:9" x14ac:dyDescent="0.35">
      <c r="A1246" t="s">
        <v>5476</v>
      </c>
      <c r="B1246" t="str">
        <f>"9780295999500"</f>
        <v>9780295999500</v>
      </c>
      <c r="C1246" t="s">
        <v>5480</v>
      </c>
      <c r="D1246" t="s">
        <v>5478</v>
      </c>
      <c r="E1246" t="s">
        <v>4986</v>
      </c>
      <c r="F1246" t="s">
        <v>5477</v>
      </c>
      <c r="H1246" t="s">
        <v>430</v>
      </c>
      <c r="I1246" t="s">
        <v>5479</v>
      </c>
    </row>
    <row r="1247" spans="1:9" x14ac:dyDescent="0.35">
      <c r="A1247" t="s">
        <v>5481</v>
      </c>
      <c r="B1247" t="str">
        <f>"9780295806662"</f>
        <v>9780295806662</v>
      </c>
      <c r="C1247" t="s">
        <v>5484</v>
      </c>
      <c r="D1247" t="s">
        <v>5482</v>
      </c>
      <c r="E1247" t="s">
        <v>4986</v>
      </c>
      <c r="F1247" t="s">
        <v>5087</v>
      </c>
      <c r="H1247" t="s">
        <v>915</v>
      </c>
      <c r="I1247" t="s">
        <v>5483</v>
      </c>
    </row>
    <row r="1248" spans="1:9" x14ac:dyDescent="0.35">
      <c r="A1248" t="s">
        <v>5485</v>
      </c>
      <c r="B1248" t="str">
        <f>"9781782843306"</f>
        <v>9781782843306</v>
      </c>
      <c r="C1248" t="s">
        <v>5489</v>
      </c>
      <c r="D1248" t="s">
        <v>5487</v>
      </c>
      <c r="E1248" t="s">
        <v>5486</v>
      </c>
      <c r="H1248" t="s">
        <v>201</v>
      </c>
      <c r="I1248" t="s">
        <v>5488</v>
      </c>
    </row>
    <row r="1249" spans="1:9" x14ac:dyDescent="0.35">
      <c r="A1249" t="s">
        <v>5490</v>
      </c>
      <c r="B1249" t="str">
        <f>"9781442661844"</f>
        <v>9781442661844</v>
      </c>
      <c r="C1249" t="s">
        <v>5494</v>
      </c>
      <c r="D1249" t="s">
        <v>5492</v>
      </c>
      <c r="E1249" t="s">
        <v>4839</v>
      </c>
      <c r="F1249" t="s">
        <v>5491</v>
      </c>
      <c r="H1249" t="s">
        <v>23</v>
      </c>
      <c r="I1249" t="s">
        <v>5493</v>
      </c>
    </row>
    <row r="1250" spans="1:9" x14ac:dyDescent="0.35">
      <c r="A1250" t="s">
        <v>5495</v>
      </c>
      <c r="B1250" t="str">
        <f>"9781442659827"</f>
        <v>9781442659827</v>
      </c>
      <c r="C1250" t="s">
        <v>5498</v>
      </c>
      <c r="D1250" t="s">
        <v>5497</v>
      </c>
      <c r="E1250" t="s">
        <v>4839</v>
      </c>
      <c r="F1250" t="s">
        <v>5496</v>
      </c>
      <c r="H1250" t="s">
        <v>140</v>
      </c>
    </row>
    <row r="1251" spans="1:9" x14ac:dyDescent="0.35">
      <c r="A1251" t="s">
        <v>5499</v>
      </c>
      <c r="B1251" t="str">
        <f>"9781442623347"</f>
        <v>9781442623347</v>
      </c>
      <c r="C1251" t="s">
        <v>5501</v>
      </c>
      <c r="D1251" t="s">
        <v>5500</v>
      </c>
      <c r="E1251" t="s">
        <v>4839</v>
      </c>
      <c r="F1251" t="s">
        <v>5491</v>
      </c>
      <c r="H1251" t="s">
        <v>29</v>
      </c>
    </row>
    <row r="1252" spans="1:9" x14ac:dyDescent="0.35">
      <c r="A1252" t="s">
        <v>5502</v>
      </c>
      <c r="B1252" t="str">
        <f>"9781442670914"</f>
        <v>9781442670914</v>
      </c>
      <c r="C1252" t="s">
        <v>5504</v>
      </c>
      <c r="D1252" t="s">
        <v>5503</v>
      </c>
      <c r="E1252" t="s">
        <v>4839</v>
      </c>
      <c r="H1252" t="s">
        <v>87</v>
      </c>
    </row>
    <row r="1253" spans="1:9" x14ac:dyDescent="0.35">
      <c r="A1253" t="s">
        <v>5505</v>
      </c>
      <c r="B1253" t="str">
        <f>"9781442671317"</f>
        <v>9781442671317</v>
      </c>
      <c r="C1253" t="s">
        <v>5508</v>
      </c>
      <c r="D1253" t="s">
        <v>5507</v>
      </c>
      <c r="E1253" t="s">
        <v>4839</v>
      </c>
      <c r="F1253" t="s">
        <v>5506</v>
      </c>
      <c r="H1253" t="s">
        <v>140</v>
      </c>
    </row>
    <row r="1254" spans="1:9" x14ac:dyDescent="0.35">
      <c r="A1254" t="s">
        <v>5509</v>
      </c>
      <c r="B1254" t="str">
        <f>"9781442674899"</f>
        <v>9781442674899</v>
      </c>
      <c r="C1254" t="s">
        <v>5511</v>
      </c>
      <c r="D1254" t="s">
        <v>5510</v>
      </c>
      <c r="E1254" t="s">
        <v>4839</v>
      </c>
      <c r="F1254" t="s">
        <v>4840</v>
      </c>
      <c r="H1254" t="s">
        <v>111</v>
      </c>
    </row>
    <row r="1255" spans="1:9" x14ac:dyDescent="0.35">
      <c r="A1255" t="s">
        <v>5512</v>
      </c>
      <c r="B1255" t="str">
        <f>"9781442675599"</f>
        <v>9781442675599</v>
      </c>
      <c r="C1255" t="s">
        <v>5514</v>
      </c>
      <c r="D1255" t="s">
        <v>5513</v>
      </c>
      <c r="E1255" t="s">
        <v>4839</v>
      </c>
      <c r="F1255" t="s">
        <v>5491</v>
      </c>
      <c r="H1255" t="s">
        <v>982</v>
      </c>
    </row>
    <row r="1256" spans="1:9" x14ac:dyDescent="0.35">
      <c r="A1256" t="s">
        <v>5515</v>
      </c>
      <c r="B1256" t="str">
        <f>"9781442676244"</f>
        <v>9781442676244</v>
      </c>
      <c r="C1256" t="s">
        <v>5517</v>
      </c>
      <c r="D1256" t="s">
        <v>5516</v>
      </c>
      <c r="E1256" t="s">
        <v>4839</v>
      </c>
      <c r="H1256" t="s">
        <v>233</v>
      </c>
    </row>
    <row r="1257" spans="1:9" x14ac:dyDescent="0.35">
      <c r="A1257" t="s">
        <v>5518</v>
      </c>
      <c r="B1257" t="str">
        <f>"9781442677005"</f>
        <v>9781442677005</v>
      </c>
      <c r="C1257" t="s">
        <v>5520</v>
      </c>
      <c r="D1257" t="s">
        <v>5519</v>
      </c>
      <c r="E1257" t="s">
        <v>4839</v>
      </c>
      <c r="F1257" t="s">
        <v>4840</v>
      </c>
      <c r="H1257" t="s">
        <v>29</v>
      </c>
    </row>
    <row r="1258" spans="1:9" x14ac:dyDescent="0.35">
      <c r="A1258" t="s">
        <v>5521</v>
      </c>
      <c r="B1258" t="str">
        <f>"9781442680883"</f>
        <v>9781442680883</v>
      </c>
      <c r="C1258" t="s">
        <v>5524</v>
      </c>
      <c r="D1258" t="s">
        <v>5522</v>
      </c>
      <c r="E1258" t="s">
        <v>4839</v>
      </c>
      <c r="H1258" t="s">
        <v>29</v>
      </c>
      <c r="I1258" t="s">
        <v>5523</v>
      </c>
    </row>
    <row r="1259" spans="1:9" x14ac:dyDescent="0.35">
      <c r="A1259" t="s">
        <v>5525</v>
      </c>
      <c r="B1259" t="str">
        <f>"9781442683242"</f>
        <v>9781442683242</v>
      </c>
      <c r="C1259" t="s">
        <v>5527</v>
      </c>
      <c r="D1259" t="s">
        <v>5526</v>
      </c>
      <c r="E1259" t="s">
        <v>4839</v>
      </c>
      <c r="H1259" t="s">
        <v>82</v>
      </c>
    </row>
    <row r="1260" spans="1:9" x14ac:dyDescent="0.35">
      <c r="A1260" t="s">
        <v>5528</v>
      </c>
      <c r="B1260" t="str">
        <f>"9781442684041"</f>
        <v>9781442684041</v>
      </c>
      <c r="C1260" t="s">
        <v>5530</v>
      </c>
      <c r="D1260" t="s">
        <v>5529</v>
      </c>
      <c r="E1260" t="s">
        <v>4839</v>
      </c>
      <c r="H1260" t="s">
        <v>23</v>
      </c>
    </row>
    <row r="1261" spans="1:9" x14ac:dyDescent="0.35">
      <c r="A1261" t="s">
        <v>5531</v>
      </c>
      <c r="B1261" t="str">
        <f>"9781442688032"</f>
        <v>9781442688032</v>
      </c>
      <c r="C1261" t="s">
        <v>5533</v>
      </c>
      <c r="D1261" t="s">
        <v>5532</v>
      </c>
      <c r="E1261" t="s">
        <v>4839</v>
      </c>
      <c r="H1261" t="s">
        <v>29</v>
      </c>
    </row>
    <row r="1262" spans="1:9" x14ac:dyDescent="0.35">
      <c r="A1262" t="s">
        <v>5534</v>
      </c>
      <c r="B1262" t="str">
        <f>"9781442688551"</f>
        <v>9781442688551</v>
      </c>
      <c r="C1262" t="s">
        <v>5537</v>
      </c>
      <c r="D1262" t="s">
        <v>5535</v>
      </c>
      <c r="E1262" t="s">
        <v>4839</v>
      </c>
      <c r="H1262" t="s">
        <v>29</v>
      </c>
      <c r="I1262" t="s">
        <v>5536</v>
      </c>
    </row>
    <row r="1263" spans="1:9" x14ac:dyDescent="0.35">
      <c r="A1263" t="s">
        <v>5538</v>
      </c>
      <c r="B1263" t="str">
        <f>"9781782843511"</f>
        <v>9781782843511</v>
      </c>
      <c r="C1263" t="s">
        <v>5541</v>
      </c>
      <c r="D1263" t="s">
        <v>5539</v>
      </c>
      <c r="E1263" t="s">
        <v>5486</v>
      </c>
      <c r="H1263" t="s">
        <v>29</v>
      </c>
      <c r="I1263" t="s">
        <v>5540</v>
      </c>
    </row>
    <row r="1264" spans="1:9" x14ac:dyDescent="0.35">
      <c r="A1264" t="s">
        <v>5542</v>
      </c>
      <c r="B1264" t="str">
        <f>"9780816535958"</f>
        <v>9780816535958</v>
      </c>
      <c r="C1264" t="s">
        <v>5545</v>
      </c>
      <c r="D1264" t="s">
        <v>5543</v>
      </c>
      <c r="E1264" t="s">
        <v>3875</v>
      </c>
      <c r="H1264" t="s">
        <v>29</v>
      </c>
      <c r="I1264" t="s">
        <v>5544</v>
      </c>
    </row>
    <row r="1265" spans="1:9" x14ac:dyDescent="0.35">
      <c r="A1265" t="s">
        <v>5546</v>
      </c>
      <c r="B1265" t="str">
        <f>"9780803295063"</f>
        <v>9780803295063</v>
      </c>
      <c r="C1265" t="s">
        <v>5549</v>
      </c>
      <c r="D1265" t="s">
        <v>5547</v>
      </c>
      <c r="E1265" t="s">
        <v>874</v>
      </c>
      <c r="H1265" t="s">
        <v>1248</v>
      </c>
      <c r="I1265" t="s">
        <v>5548</v>
      </c>
    </row>
    <row r="1266" spans="1:9" x14ac:dyDescent="0.35">
      <c r="A1266" t="s">
        <v>5550</v>
      </c>
      <c r="B1266" t="str">
        <f>"9781925435504"</f>
        <v>9781925435504</v>
      </c>
      <c r="C1266" t="s">
        <v>5554</v>
      </c>
      <c r="D1266" t="s">
        <v>5552</v>
      </c>
      <c r="E1266" t="s">
        <v>5551</v>
      </c>
      <c r="H1266" t="s">
        <v>233</v>
      </c>
      <c r="I1266" t="s">
        <v>5553</v>
      </c>
    </row>
    <row r="1267" spans="1:9" x14ac:dyDescent="0.35">
      <c r="A1267" t="s">
        <v>5555</v>
      </c>
      <c r="B1267" t="str">
        <f>"9781501706332"</f>
        <v>9781501706332</v>
      </c>
      <c r="C1267" t="s">
        <v>5558</v>
      </c>
      <c r="D1267" t="s">
        <v>5556</v>
      </c>
      <c r="E1267" t="s">
        <v>3390</v>
      </c>
      <c r="H1267" t="s">
        <v>82</v>
      </c>
      <c r="I1267" t="s">
        <v>5557</v>
      </c>
    </row>
    <row r="1268" spans="1:9" x14ac:dyDescent="0.35">
      <c r="A1268" t="s">
        <v>5559</v>
      </c>
      <c r="B1268" t="str">
        <f>"9781760460280"</f>
        <v>9781760460280</v>
      </c>
      <c r="C1268" t="s">
        <v>5562</v>
      </c>
      <c r="D1268" t="s">
        <v>5560</v>
      </c>
      <c r="E1268" t="s">
        <v>5107</v>
      </c>
      <c r="F1268" t="s">
        <v>5112</v>
      </c>
      <c r="H1268" t="s">
        <v>111</v>
      </c>
      <c r="I1268" t="s">
        <v>5561</v>
      </c>
    </row>
    <row r="1269" spans="1:9" x14ac:dyDescent="0.35">
      <c r="A1269" t="s">
        <v>5563</v>
      </c>
      <c r="B1269" t="str">
        <f>"9780816536832"</f>
        <v>9780816536832</v>
      </c>
      <c r="C1269" t="s">
        <v>5566</v>
      </c>
      <c r="D1269" t="s">
        <v>5564</v>
      </c>
      <c r="E1269" t="s">
        <v>3875</v>
      </c>
      <c r="H1269" t="s">
        <v>29</v>
      </c>
      <c r="I1269" t="s">
        <v>5565</v>
      </c>
    </row>
    <row r="1270" spans="1:9" x14ac:dyDescent="0.35">
      <c r="A1270" t="s">
        <v>5567</v>
      </c>
      <c r="B1270" t="str">
        <f>"9780887554995"</f>
        <v>9780887554995</v>
      </c>
      <c r="C1270" t="s">
        <v>5571</v>
      </c>
      <c r="D1270" t="s">
        <v>5569</v>
      </c>
      <c r="E1270" t="s">
        <v>5568</v>
      </c>
      <c r="H1270" t="s">
        <v>298</v>
      </c>
      <c r="I1270" t="s">
        <v>5570</v>
      </c>
    </row>
    <row r="1271" spans="1:9" x14ac:dyDescent="0.35">
      <c r="A1271" t="s">
        <v>5572</v>
      </c>
      <c r="B1271" t="str">
        <f>"9780887555404"</f>
        <v>9780887555404</v>
      </c>
      <c r="C1271" t="s">
        <v>5576</v>
      </c>
      <c r="D1271" t="s">
        <v>5574</v>
      </c>
      <c r="E1271" t="s">
        <v>5568</v>
      </c>
      <c r="F1271" t="s">
        <v>5573</v>
      </c>
      <c r="H1271" t="s">
        <v>29</v>
      </c>
      <c r="I1271" t="s">
        <v>5575</v>
      </c>
    </row>
    <row r="1272" spans="1:9" x14ac:dyDescent="0.35">
      <c r="A1272" t="s">
        <v>5577</v>
      </c>
      <c r="B1272" t="str">
        <f>"9780887555084"</f>
        <v>9780887555084</v>
      </c>
      <c r="C1272" t="s">
        <v>5580</v>
      </c>
      <c r="D1272" t="s">
        <v>5578</v>
      </c>
      <c r="E1272" t="s">
        <v>5568</v>
      </c>
      <c r="H1272" t="s">
        <v>49</v>
      </c>
      <c r="I1272" t="s">
        <v>5579</v>
      </c>
    </row>
    <row r="1273" spans="1:9" x14ac:dyDescent="0.35">
      <c r="A1273" t="s">
        <v>5581</v>
      </c>
      <c r="B1273" t="str">
        <f>"9780887555053"</f>
        <v>9780887555053</v>
      </c>
      <c r="C1273" t="s">
        <v>5585</v>
      </c>
      <c r="D1273" t="s">
        <v>5583</v>
      </c>
      <c r="E1273" t="s">
        <v>5568</v>
      </c>
      <c r="F1273" t="s">
        <v>5582</v>
      </c>
      <c r="H1273" t="s">
        <v>111</v>
      </c>
      <c r="I1273" t="s">
        <v>5584</v>
      </c>
    </row>
    <row r="1274" spans="1:9" x14ac:dyDescent="0.35">
      <c r="A1274" t="s">
        <v>5586</v>
      </c>
      <c r="B1274" t="str">
        <f>"9781772060546"</f>
        <v>9781772060546</v>
      </c>
      <c r="C1274" t="s">
        <v>5590</v>
      </c>
      <c r="D1274" t="s">
        <v>5588</v>
      </c>
      <c r="E1274" t="s">
        <v>5587</v>
      </c>
      <c r="H1274" t="s">
        <v>29</v>
      </c>
      <c r="I1274" t="s">
        <v>5589</v>
      </c>
    </row>
    <row r="1275" spans="1:9" x14ac:dyDescent="0.35">
      <c r="A1275" t="s">
        <v>5591</v>
      </c>
      <c r="B1275" t="str">
        <f>"9781772120325"</f>
        <v>9781772120325</v>
      </c>
      <c r="C1275" t="s">
        <v>5595</v>
      </c>
      <c r="D1275" t="s">
        <v>5593</v>
      </c>
      <c r="E1275" t="s">
        <v>5592</v>
      </c>
      <c r="H1275" t="s">
        <v>111</v>
      </c>
      <c r="I1275" t="s">
        <v>5594</v>
      </c>
    </row>
    <row r="1276" spans="1:9" x14ac:dyDescent="0.35">
      <c r="A1276" t="s">
        <v>5596</v>
      </c>
      <c r="B1276" t="str">
        <f>"9780888646927"</f>
        <v>9780888646927</v>
      </c>
      <c r="C1276" t="s">
        <v>5599</v>
      </c>
      <c r="D1276" t="s">
        <v>5597</v>
      </c>
      <c r="E1276" t="s">
        <v>5592</v>
      </c>
      <c r="H1276" t="s">
        <v>2254</v>
      </c>
      <c r="I1276" t="s">
        <v>5598</v>
      </c>
    </row>
    <row r="1277" spans="1:9" x14ac:dyDescent="0.35">
      <c r="A1277" t="s">
        <v>5600</v>
      </c>
      <c r="B1277" t="str">
        <f>"9780888647184"</f>
        <v>9780888647184</v>
      </c>
      <c r="C1277" t="s">
        <v>5603</v>
      </c>
      <c r="D1277" t="s">
        <v>5601</v>
      </c>
      <c r="E1277" t="s">
        <v>5592</v>
      </c>
      <c r="H1277" t="s">
        <v>29</v>
      </c>
      <c r="I1277" t="s">
        <v>5602</v>
      </c>
    </row>
    <row r="1278" spans="1:9" x14ac:dyDescent="0.35">
      <c r="A1278" t="s">
        <v>5604</v>
      </c>
      <c r="B1278" t="str">
        <f>"9781785705779"</f>
        <v>9781785705779</v>
      </c>
      <c r="C1278" t="s">
        <v>5608</v>
      </c>
      <c r="D1278" t="s">
        <v>5606</v>
      </c>
      <c r="E1278" t="s">
        <v>5605</v>
      </c>
      <c r="H1278" t="s">
        <v>29</v>
      </c>
      <c r="I1278" t="s">
        <v>5607</v>
      </c>
    </row>
    <row r="1279" spans="1:9" x14ac:dyDescent="0.35">
      <c r="A1279" t="s">
        <v>5609</v>
      </c>
      <c r="B1279" t="str">
        <f>"9780887555022"</f>
        <v>9780887555022</v>
      </c>
      <c r="C1279" t="s">
        <v>5612</v>
      </c>
      <c r="D1279" t="s">
        <v>5610</v>
      </c>
      <c r="E1279" t="s">
        <v>5568</v>
      </c>
      <c r="H1279" t="s">
        <v>293</v>
      </c>
      <c r="I1279" t="s">
        <v>5611</v>
      </c>
    </row>
    <row r="1280" spans="1:9" x14ac:dyDescent="0.35">
      <c r="A1280" t="s">
        <v>5613</v>
      </c>
      <c r="B1280" t="str">
        <f>"9780887554674"</f>
        <v>9780887554674</v>
      </c>
      <c r="C1280" t="s">
        <v>5617</v>
      </c>
      <c r="D1280" t="s">
        <v>5615</v>
      </c>
      <c r="E1280" t="s">
        <v>5568</v>
      </c>
      <c r="F1280" t="s">
        <v>5614</v>
      </c>
      <c r="H1280" t="s">
        <v>1820</v>
      </c>
      <c r="I1280" t="s">
        <v>5616</v>
      </c>
    </row>
    <row r="1281" spans="1:9" x14ac:dyDescent="0.35">
      <c r="A1281" t="s">
        <v>5618</v>
      </c>
      <c r="B1281" t="str">
        <f>"9780887554377"</f>
        <v>9780887554377</v>
      </c>
      <c r="C1281" t="s">
        <v>5621</v>
      </c>
      <c r="D1281" t="s">
        <v>5619</v>
      </c>
      <c r="E1281" t="s">
        <v>5568</v>
      </c>
      <c r="F1281" t="s">
        <v>5582</v>
      </c>
      <c r="H1281" t="s">
        <v>82</v>
      </c>
      <c r="I1281" t="s">
        <v>5620</v>
      </c>
    </row>
    <row r="1282" spans="1:9" x14ac:dyDescent="0.35">
      <c r="A1282" t="s">
        <v>5622</v>
      </c>
      <c r="B1282" t="str">
        <f>"9780887554230"</f>
        <v>9780887554230</v>
      </c>
      <c r="C1282" t="s">
        <v>5625</v>
      </c>
      <c r="D1282" t="s">
        <v>5623</v>
      </c>
      <c r="E1282" t="s">
        <v>5568</v>
      </c>
      <c r="H1282" t="s">
        <v>29</v>
      </c>
      <c r="I1282" t="s">
        <v>5624</v>
      </c>
    </row>
    <row r="1283" spans="1:9" x14ac:dyDescent="0.35">
      <c r="A1283" t="s">
        <v>5626</v>
      </c>
      <c r="B1283" t="str">
        <f>"9780887555190"</f>
        <v>9780887555190</v>
      </c>
      <c r="C1283" t="s">
        <v>5629</v>
      </c>
      <c r="D1283" t="s">
        <v>5627</v>
      </c>
      <c r="E1283" t="s">
        <v>5568</v>
      </c>
      <c r="F1283" t="s">
        <v>5582</v>
      </c>
      <c r="H1283" t="s">
        <v>1296</v>
      </c>
      <c r="I1283" t="s">
        <v>5628</v>
      </c>
    </row>
    <row r="1284" spans="1:9" x14ac:dyDescent="0.35">
      <c r="A1284" t="s">
        <v>5630</v>
      </c>
      <c r="B1284" t="str">
        <f>"9780887554438"</f>
        <v>9780887554438</v>
      </c>
      <c r="C1284" t="s">
        <v>5633</v>
      </c>
      <c r="D1284" t="s">
        <v>5631</v>
      </c>
      <c r="E1284" t="s">
        <v>5568</v>
      </c>
      <c r="H1284" t="s">
        <v>29</v>
      </c>
      <c r="I1284" t="s">
        <v>5632</v>
      </c>
    </row>
    <row r="1285" spans="1:9" x14ac:dyDescent="0.35">
      <c r="A1285" t="s">
        <v>5634</v>
      </c>
      <c r="B1285" t="str">
        <f>"9780887554254"</f>
        <v>9780887554254</v>
      </c>
      <c r="C1285" t="s">
        <v>5638</v>
      </c>
      <c r="D1285" t="s">
        <v>5636</v>
      </c>
      <c r="E1285" t="s">
        <v>5568</v>
      </c>
      <c r="F1285" t="s">
        <v>5635</v>
      </c>
      <c r="H1285" t="s">
        <v>29</v>
      </c>
      <c r="I1285" t="s">
        <v>5637</v>
      </c>
    </row>
    <row r="1286" spans="1:9" x14ac:dyDescent="0.35">
      <c r="A1286" t="s">
        <v>5639</v>
      </c>
      <c r="B1286" t="str">
        <f>"9780887554551"</f>
        <v>9780887554551</v>
      </c>
      <c r="C1286" t="s">
        <v>5643</v>
      </c>
      <c r="D1286" t="s">
        <v>5641</v>
      </c>
      <c r="E1286" t="s">
        <v>5568</v>
      </c>
      <c r="F1286" t="s">
        <v>5640</v>
      </c>
      <c r="H1286" t="s">
        <v>29</v>
      </c>
      <c r="I1286" t="s">
        <v>5642</v>
      </c>
    </row>
    <row r="1287" spans="1:9" x14ac:dyDescent="0.35">
      <c r="A1287" t="s">
        <v>5644</v>
      </c>
      <c r="B1287" t="str">
        <f>"9780887554476"</f>
        <v>9780887554476</v>
      </c>
      <c r="C1287" t="s">
        <v>5647</v>
      </c>
      <c r="D1287" t="s">
        <v>5645</v>
      </c>
      <c r="E1287" t="s">
        <v>5568</v>
      </c>
      <c r="F1287" t="s">
        <v>5635</v>
      </c>
      <c r="H1287" t="s">
        <v>1248</v>
      </c>
      <c r="I1287" t="s">
        <v>5646</v>
      </c>
    </row>
    <row r="1288" spans="1:9" x14ac:dyDescent="0.35">
      <c r="A1288" t="s">
        <v>5648</v>
      </c>
      <c r="B1288" t="str">
        <f>"9782981386335"</f>
        <v>9782981386335</v>
      </c>
      <c r="C1288" t="s">
        <v>5652</v>
      </c>
      <c r="D1288" t="s">
        <v>5650</v>
      </c>
      <c r="E1288" t="s">
        <v>5649</v>
      </c>
      <c r="H1288" t="s">
        <v>29</v>
      </c>
      <c r="I1288" t="s">
        <v>5651</v>
      </c>
    </row>
    <row r="1289" spans="1:9" x14ac:dyDescent="0.35">
      <c r="A1289" t="s">
        <v>5653</v>
      </c>
      <c r="B1289" t="str">
        <f>"9780887554667"</f>
        <v>9780887554667</v>
      </c>
      <c r="C1289" t="s">
        <v>5656</v>
      </c>
      <c r="D1289" t="s">
        <v>5654</v>
      </c>
      <c r="E1289" t="s">
        <v>5568</v>
      </c>
      <c r="H1289" t="s">
        <v>29</v>
      </c>
      <c r="I1289" t="s">
        <v>5655</v>
      </c>
    </row>
    <row r="1290" spans="1:9" x14ac:dyDescent="0.35">
      <c r="A1290" t="s">
        <v>5657</v>
      </c>
      <c r="B1290" t="str">
        <f>"9780887554926"</f>
        <v>9780887554926</v>
      </c>
      <c r="C1290" t="s">
        <v>5660</v>
      </c>
      <c r="D1290" t="s">
        <v>5658</v>
      </c>
      <c r="E1290" t="s">
        <v>5568</v>
      </c>
      <c r="F1290" t="s">
        <v>5640</v>
      </c>
      <c r="H1290" t="s">
        <v>29</v>
      </c>
      <c r="I1290" t="s">
        <v>5659</v>
      </c>
    </row>
    <row r="1291" spans="1:9" x14ac:dyDescent="0.35">
      <c r="A1291" t="s">
        <v>5661</v>
      </c>
      <c r="B1291" t="str">
        <f>"9780887554766"</f>
        <v>9780887554766</v>
      </c>
      <c r="C1291" t="s">
        <v>5664</v>
      </c>
      <c r="D1291" t="s">
        <v>5662</v>
      </c>
      <c r="E1291" t="s">
        <v>5568</v>
      </c>
      <c r="F1291" t="s">
        <v>5640</v>
      </c>
      <c r="H1291" t="s">
        <v>23</v>
      </c>
      <c r="I1291" t="s">
        <v>5663</v>
      </c>
    </row>
    <row r="1292" spans="1:9" x14ac:dyDescent="0.35">
      <c r="A1292" t="s">
        <v>5665</v>
      </c>
      <c r="B1292" t="str">
        <f>"9780887554308"</f>
        <v>9780887554308</v>
      </c>
      <c r="C1292" t="s">
        <v>5668</v>
      </c>
      <c r="D1292" t="s">
        <v>5666</v>
      </c>
      <c r="E1292" t="s">
        <v>5568</v>
      </c>
      <c r="F1292" t="s">
        <v>5582</v>
      </c>
      <c r="H1292" t="s">
        <v>265</v>
      </c>
      <c r="I1292" t="s">
        <v>5667</v>
      </c>
    </row>
    <row r="1293" spans="1:9" x14ac:dyDescent="0.35">
      <c r="A1293" t="s">
        <v>5669</v>
      </c>
      <c r="B1293" t="str">
        <f>"9780887554797"</f>
        <v>9780887554797</v>
      </c>
      <c r="C1293" t="s">
        <v>5672</v>
      </c>
      <c r="D1293" t="s">
        <v>5670</v>
      </c>
      <c r="E1293" t="s">
        <v>5568</v>
      </c>
      <c r="H1293" t="s">
        <v>265</v>
      </c>
      <c r="I1293" t="s">
        <v>5671</v>
      </c>
    </row>
    <row r="1294" spans="1:9" x14ac:dyDescent="0.35">
      <c r="A1294" t="s">
        <v>5673</v>
      </c>
      <c r="B1294" t="str">
        <f>"9780887554261"</f>
        <v>9780887554261</v>
      </c>
      <c r="C1294" t="s">
        <v>5676</v>
      </c>
      <c r="D1294" t="s">
        <v>5674</v>
      </c>
      <c r="E1294" t="s">
        <v>5568</v>
      </c>
      <c r="F1294" t="s">
        <v>5635</v>
      </c>
      <c r="H1294" t="s">
        <v>23</v>
      </c>
      <c r="I1294" t="s">
        <v>5675</v>
      </c>
    </row>
    <row r="1295" spans="1:9" x14ac:dyDescent="0.35">
      <c r="A1295" t="s">
        <v>5677</v>
      </c>
      <c r="B1295" t="str">
        <f>"9780887554445"</f>
        <v>9780887554445</v>
      </c>
      <c r="C1295" t="s">
        <v>5680</v>
      </c>
      <c r="D1295" t="s">
        <v>5678</v>
      </c>
      <c r="E1295" t="s">
        <v>5568</v>
      </c>
      <c r="H1295" t="s">
        <v>851</v>
      </c>
      <c r="I1295" t="s">
        <v>5679</v>
      </c>
    </row>
    <row r="1296" spans="1:9" x14ac:dyDescent="0.35">
      <c r="A1296" t="s">
        <v>5681</v>
      </c>
      <c r="B1296" t="str">
        <f>"9780887554179"</f>
        <v>9780887554179</v>
      </c>
      <c r="C1296" t="s">
        <v>5684</v>
      </c>
      <c r="D1296" t="s">
        <v>5682</v>
      </c>
      <c r="E1296" t="s">
        <v>5568</v>
      </c>
      <c r="H1296" t="s">
        <v>29</v>
      </c>
      <c r="I1296" t="s">
        <v>5683</v>
      </c>
    </row>
    <row r="1297" spans="1:9" x14ac:dyDescent="0.35">
      <c r="A1297" t="s">
        <v>5685</v>
      </c>
      <c r="B1297" t="str">
        <f>"9781772031652"</f>
        <v>9781772031652</v>
      </c>
      <c r="C1297" t="s">
        <v>5689</v>
      </c>
      <c r="D1297" t="s">
        <v>5687</v>
      </c>
      <c r="E1297" t="s">
        <v>5686</v>
      </c>
      <c r="H1297" t="s">
        <v>1946</v>
      </c>
      <c r="I1297" t="s">
        <v>5688</v>
      </c>
    </row>
    <row r="1298" spans="1:9" x14ac:dyDescent="0.35">
      <c r="A1298" t="s">
        <v>5690</v>
      </c>
      <c r="B1298" t="str">
        <f>"9780803204195"</f>
        <v>9780803204195</v>
      </c>
      <c r="C1298" t="s">
        <v>5693</v>
      </c>
      <c r="D1298" t="s">
        <v>5691</v>
      </c>
      <c r="E1298" t="s">
        <v>129</v>
      </c>
      <c r="H1298" t="s">
        <v>265</v>
      </c>
      <c r="I1298" t="s">
        <v>5692</v>
      </c>
    </row>
    <row r="1299" spans="1:9" x14ac:dyDescent="0.35">
      <c r="A1299" t="s">
        <v>5694</v>
      </c>
      <c r="B1299" t="str">
        <f>"9780813052892"</f>
        <v>9780813052892</v>
      </c>
      <c r="C1299" t="s">
        <v>5697</v>
      </c>
      <c r="D1299" t="s">
        <v>5695</v>
      </c>
      <c r="E1299" t="s">
        <v>1227</v>
      </c>
      <c r="H1299" t="s">
        <v>29</v>
      </c>
      <c r="I1299" t="s">
        <v>5696</v>
      </c>
    </row>
    <row r="1300" spans="1:9" x14ac:dyDescent="0.35">
      <c r="A1300" t="s">
        <v>5698</v>
      </c>
      <c r="B1300" t="str">
        <f>"9781611177572"</f>
        <v>9781611177572</v>
      </c>
      <c r="C1300" t="s">
        <v>5701</v>
      </c>
      <c r="D1300" t="s">
        <v>5699</v>
      </c>
      <c r="E1300" t="s">
        <v>3000</v>
      </c>
      <c r="H1300" t="s">
        <v>29</v>
      </c>
      <c r="I1300" t="s">
        <v>5700</v>
      </c>
    </row>
    <row r="1301" spans="1:9" x14ac:dyDescent="0.35">
      <c r="A1301" t="s">
        <v>5702</v>
      </c>
      <c r="B1301" t="str">
        <f>"9780813063218"</f>
        <v>9780813063218</v>
      </c>
      <c r="C1301" t="s">
        <v>5705</v>
      </c>
      <c r="D1301" t="s">
        <v>5703</v>
      </c>
      <c r="E1301" t="s">
        <v>1227</v>
      </c>
      <c r="F1301" t="s">
        <v>1668</v>
      </c>
      <c r="H1301" t="s">
        <v>29</v>
      </c>
      <c r="I1301" t="s">
        <v>5704</v>
      </c>
    </row>
    <row r="1302" spans="1:9" x14ac:dyDescent="0.35">
      <c r="A1302" t="s">
        <v>5706</v>
      </c>
      <c r="B1302" t="str">
        <f>"9781625857668"</f>
        <v>9781625857668</v>
      </c>
      <c r="C1302" t="s">
        <v>5710</v>
      </c>
      <c r="D1302" t="s">
        <v>5708</v>
      </c>
      <c r="E1302" t="s">
        <v>5707</v>
      </c>
      <c r="H1302" t="s">
        <v>29</v>
      </c>
      <c r="I1302" t="s">
        <v>5709</v>
      </c>
    </row>
    <row r="1303" spans="1:9" x14ac:dyDescent="0.35">
      <c r="A1303" t="s">
        <v>5711</v>
      </c>
      <c r="B1303" t="str">
        <f>"9781922059178"</f>
        <v>9781922059178</v>
      </c>
      <c r="C1303" t="s">
        <v>5715</v>
      </c>
      <c r="D1303" t="s">
        <v>5713</v>
      </c>
      <c r="E1303" t="s">
        <v>5712</v>
      </c>
      <c r="H1303" t="s">
        <v>29</v>
      </c>
      <c r="I1303" t="s">
        <v>5714</v>
      </c>
    </row>
    <row r="1304" spans="1:9" x14ac:dyDescent="0.35">
      <c r="A1304" t="s">
        <v>5716</v>
      </c>
      <c r="B1304" t="str">
        <f>"9780295741352"</f>
        <v>9780295741352</v>
      </c>
      <c r="C1304" t="s">
        <v>5718</v>
      </c>
      <c r="D1304" t="s">
        <v>5010</v>
      </c>
      <c r="E1304" t="s">
        <v>4986</v>
      </c>
      <c r="F1304" t="s">
        <v>4987</v>
      </c>
      <c r="H1304" t="s">
        <v>29</v>
      </c>
      <c r="I1304" t="s">
        <v>5717</v>
      </c>
    </row>
    <row r="1305" spans="1:9" x14ac:dyDescent="0.35">
      <c r="A1305" t="s">
        <v>5719</v>
      </c>
      <c r="B1305" t="str">
        <f>"9781501712555"</f>
        <v>9781501712555</v>
      </c>
      <c r="C1305" t="s">
        <v>5722</v>
      </c>
      <c r="D1305" t="s">
        <v>5720</v>
      </c>
      <c r="E1305" t="s">
        <v>3390</v>
      </c>
      <c r="H1305" t="s">
        <v>29</v>
      </c>
      <c r="I1305" t="s">
        <v>5721</v>
      </c>
    </row>
    <row r="1306" spans="1:9" x14ac:dyDescent="0.35">
      <c r="A1306" t="s">
        <v>5723</v>
      </c>
      <c r="B1306" t="str">
        <f>"9781772123456"</f>
        <v>9781772123456</v>
      </c>
      <c r="C1306" t="s">
        <v>5728</v>
      </c>
      <c r="D1306" t="s">
        <v>5726</v>
      </c>
      <c r="E1306" t="s">
        <v>5724</v>
      </c>
      <c r="F1306" t="s">
        <v>5725</v>
      </c>
      <c r="H1306" t="s">
        <v>23</v>
      </c>
      <c r="I1306" t="s">
        <v>5727</v>
      </c>
    </row>
    <row r="1307" spans="1:9" x14ac:dyDescent="0.35">
      <c r="A1307" t="s">
        <v>5729</v>
      </c>
      <c r="B1307" t="str">
        <f>"9781772124026"</f>
        <v>9781772124026</v>
      </c>
      <c r="C1307" t="s">
        <v>5732</v>
      </c>
      <c r="D1307" t="s">
        <v>5730</v>
      </c>
      <c r="E1307" t="s">
        <v>5724</v>
      </c>
      <c r="H1307" t="s">
        <v>111</v>
      </c>
      <c r="I1307" t="s">
        <v>5731</v>
      </c>
    </row>
    <row r="1308" spans="1:9" x14ac:dyDescent="0.35">
      <c r="A1308" t="s">
        <v>5733</v>
      </c>
      <c r="B1308" t="str">
        <f>"9781532605871"</f>
        <v>9781532605871</v>
      </c>
      <c r="C1308" t="s">
        <v>5737</v>
      </c>
      <c r="D1308" t="s">
        <v>5735</v>
      </c>
      <c r="E1308" t="s">
        <v>5734</v>
      </c>
      <c r="H1308" t="s">
        <v>87</v>
      </c>
      <c r="I1308" t="s">
        <v>5736</v>
      </c>
    </row>
    <row r="1309" spans="1:9" x14ac:dyDescent="0.35">
      <c r="A1309" t="s">
        <v>5738</v>
      </c>
      <c r="B1309" t="str">
        <f>"9781683400189"</f>
        <v>9781683400189</v>
      </c>
      <c r="C1309" t="s">
        <v>5741</v>
      </c>
      <c r="D1309" t="s">
        <v>5739</v>
      </c>
      <c r="E1309" t="s">
        <v>1227</v>
      </c>
      <c r="F1309" t="s">
        <v>1668</v>
      </c>
      <c r="H1309" t="s">
        <v>29</v>
      </c>
      <c r="I1309" t="s">
        <v>5740</v>
      </c>
    </row>
    <row r="1310" spans="1:9" x14ac:dyDescent="0.35">
      <c r="A1310" t="s">
        <v>5742</v>
      </c>
      <c r="B1310" t="str">
        <f>"9780935302684"</f>
        <v>9780935302684</v>
      </c>
      <c r="C1310" t="s">
        <v>5747</v>
      </c>
      <c r="D1310" t="s">
        <v>5744</v>
      </c>
      <c r="E1310" t="s">
        <v>5743</v>
      </c>
      <c r="H1310" t="s">
        <v>5745</v>
      </c>
      <c r="I1310" t="s">
        <v>5746</v>
      </c>
    </row>
    <row r="1311" spans="1:9" x14ac:dyDescent="0.35">
      <c r="A1311" t="s">
        <v>5748</v>
      </c>
      <c r="B1311" t="str">
        <f>"9781438466255"</f>
        <v>9781438466255</v>
      </c>
      <c r="C1311" t="s">
        <v>5752</v>
      </c>
      <c r="D1311" t="s">
        <v>5750</v>
      </c>
      <c r="E1311" t="s">
        <v>3753</v>
      </c>
      <c r="F1311" t="s">
        <v>5749</v>
      </c>
      <c r="H1311" t="s">
        <v>82</v>
      </c>
      <c r="I1311" t="s">
        <v>5751</v>
      </c>
    </row>
    <row r="1312" spans="1:9" x14ac:dyDescent="0.35">
      <c r="A1312" t="s">
        <v>5753</v>
      </c>
      <c r="B1312" t="str">
        <f>"9781438466101"</f>
        <v>9781438466101</v>
      </c>
      <c r="C1312" t="s">
        <v>5756</v>
      </c>
      <c r="D1312" t="s">
        <v>5754</v>
      </c>
      <c r="E1312" t="s">
        <v>3753</v>
      </c>
      <c r="H1312" t="s">
        <v>1866</v>
      </c>
      <c r="I1312" t="s">
        <v>5755</v>
      </c>
    </row>
    <row r="1313" spans="1:9" x14ac:dyDescent="0.35">
      <c r="A1313" t="s">
        <v>5757</v>
      </c>
      <c r="B1313" t="str">
        <f>"9780295741833"</f>
        <v>9780295741833</v>
      </c>
      <c r="C1313" t="s">
        <v>5760</v>
      </c>
      <c r="D1313" t="s">
        <v>5758</v>
      </c>
      <c r="E1313" t="s">
        <v>4986</v>
      </c>
      <c r="F1313" t="s">
        <v>5087</v>
      </c>
      <c r="H1313" t="s">
        <v>140</v>
      </c>
      <c r="I1313" t="s">
        <v>5759</v>
      </c>
    </row>
    <row r="1314" spans="1:9" x14ac:dyDescent="0.35">
      <c r="A1314" t="s">
        <v>5761</v>
      </c>
      <c r="B1314" t="str">
        <f>"9780295741536"</f>
        <v>9780295741536</v>
      </c>
      <c r="C1314" t="s">
        <v>5764</v>
      </c>
      <c r="D1314" t="s">
        <v>5762</v>
      </c>
      <c r="E1314" t="s">
        <v>4986</v>
      </c>
      <c r="F1314" t="s">
        <v>5087</v>
      </c>
      <c r="H1314" t="s">
        <v>44</v>
      </c>
      <c r="I1314" t="s">
        <v>5763</v>
      </c>
    </row>
    <row r="1315" spans="1:9" x14ac:dyDescent="0.35">
      <c r="A1315" t="s">
        <v>5765</v>
      </c>
      <c r="B1315" t="str">
        <f>"9780295741598"</f>
        <v>9780295741598</v>
      </c>
      <c r="C1315" t="s">
        <v>5768</v>
      </c>
      <c r="D1315" t="s">
        <v>5766</v>
      </c>
      <c r="E1315" t="s">
        <v>4986</v>
      </c>
      <c r="F1315" t="s">
        <v>5087</v>
      </c>
      <c r="H1315" t="s">
        <v>233</v>
      </c>
      <c r="I1315" t="s">
        <v>5767</v>
      </c>
    </row>
    <row r="1316" spans="1:9" x14ac:dyDescent="0.35">
      <c r="A1316" t="s">
        <v>5769</v>
      </c>
      <c r="B1316" t="str">
        <f>"9789004346710"</f>
        <v>9789004346710</v>
      </c>
      <c r="C1316" t="s">
        <v>5773</v>
      </c>
      <c r="D1316" t="s">
        <v>5771</v>
      </c>
      <c r="E1316" t="s">
        <v>483</v>
      </c>
      <c r="F1316" t="s">
        <v>5770</v>
      </c>
      <c r="H1316" t="s">
        <v>87</v>
      </c>
      <c r="I1316" t="s">
        <v>5772</v>
      </c>
    </row>
    <row r="1317" spans="1:9" x14ac:dyDescent="0.35">
      <c r="A1317" t="s">
        <v>5774</v>
      </c>
      <c r="B1317" t="str">
        <f>"9781683400585"</f>
        <v>9781683400585</v>
      </c>
      <c r="C1317" t="s">
        <v>5778</v>
      </c>
      <c r="D1317" t="s">
        <v>5776</v>
      </c>
      <c r="E1317" t="s">
        <v>1227</v>
      </c>
      <c r="F1317" t="s">
        <v>5775</v>
      </c>
      <c r="H1317" t="s">
        <v>29</v>
      </c>
      <c r="I1317" t="s">
        <v>5777</v>
      </c>
    </row>
    <row r="1318" spans="1:9" x14ac:dyDescent="0.35">
      <c r="A1318" t="s">
        <v>5779</v>
      </c>
      <c r="B1318" t="str">
        <f>"9780889848467"</f>
        <v>9780889848467</v>
      </c>
      <c r="C1318" t="s">
        <v>5783</v>
      </c>
      <c r="D1318" t="s">
        <v>5781</v>
      </c>
      <c r="E1318" t="s">
        <v>5780</v>
      </c>
      <c r="H1318" t="s">
        <v>201</v>
      </c>
      <c r="I1318" t="s">
        <v>5782</v>
      </c>
    </row>
    <row r="1319" spans="1:9" x14ac:dyDescent="0.35">
      <c r="A1319" t="s">
        <v>5784</v>
      </c>
      <c r="B1319" t="str">
        <f>"9781552389515"</f>
        <v>9781552389515</v>
      </c>
      <c r="C1319" t="s">
        <v>5788</v>
      </c>
      <c r="D1319" t="s">
        <v>5786</v>
      </c>
      <c r="E1319" t="s">
        <v>3416</v>
      </c>
      <c r="F1319" t="s">
        <v>5785</v>
      </c>
      <c r="H1319" t="s">
        <v>201</v>
      </c>
      <c r="I1319" t="s">
        <v>5787</v>
      </c>
    </row>
    <row r="1320" spans="1:9" x14ac:dyDescent="0.35">
      <c r="A1320" t="s">
        <v>5789</v>
      </c>
      <c r="B1320" t="str">
        <f>"9781459738607"</f>
        <v>9781459738607</v>
      </c>
      <c r="C1320" t="s">
        <v>5792</v>
      </c>
      <c r="D1320" t="s">
        <v>5790</v>
      </c>
      <c r="E1320" t="s">
        <v>2615</v>
      </c>
      <c r="H1320" t="s">
        <v>29</v>
      </c>
      <c r="I1320" t="s">
        <v>5791</v>
      </c>
    </row>
    <row r="1321" spans="1:9" x14ac:dyDescent="0.35">
      <c r="A1321" t="s">
        <v>5793</v>
      </c>
      <c r="B1321" t="str">
        <f>"9781496204073"</f>
        <v>9781496204073</v>
      </c>
      <c r="C1321" t="s">
        <v>5796</v>
      </c>
      <c r="D1321" t="s">
        <v>5794</v>
      </c>
      <c r="E1321" t="s">
        <v>2407</v>
      </c>
      <c r="H1321" t="s">
        <v>23</v>
      </c>
      <c r="I1321" t="s">
        <v>5795</v>
      </c>
    </row>
    <row r="1322" spans="1:9" x14ac:dyDescent="0.35">
      <c r="A1322" t="s">
        <v>5797</v>
      </c>
      <c r="B1322" t="str">
        <f>"9781938065026"</f>
        <v>9781938065026</v>
      </c>
      <c r="C1322" t="s">
        <v>5800</v>
      </c>
      <c r="D1322" t="s">
        <v>5798</v>
      </c>
      <c r="E1322" t="s">
        <v>3640</v>
      </c>
      <c r="F1322" t="s">
        <v>3695</v>
      </c>
      <c r="H1322" t="s">
        <v>4278</v>
      </c>
      <c r="I1322" t="s">
        <v>5799</v>
      </c>
    </row>
    <row r="1323" spans="1:9" x14ac:dyDescent="0.35">
      <c r="A1323" t="s">
        <v>5801</v>
      </c>
      <c r="B1323" t="str">
        <f>"9780889774551"</f>
        <v>9780889774551</v>
      </c>
      <c r="C1323" t="s">
        <v>5806</v>
      </c>
      <c r="D1323" t="s">
        <v>5804</v>
      </c>
      <c r="E1323" t="s">
        <v>5802</v>
      </c>
      <c r="F1323" t="s">
        <v>5803</v>
      </c>
      <c r="H1323" t="s">
        <v>29</v>
      </c>
      <c r="I1323" t="s">
        <v>5805</v>
      </c>
    </row>
    <row r="1324" spans="1:9" x14ac:dyDescent="0.35">
      <c r="A1324" t="s">
        <v>5807</v>
      </c>
      <c r="B1324" t="str">
        <f>"9780889774384"</f>
        <v>9780889774384</v>
      </c>
      <c r="C1324" t="s">
        <v>5810</v>
      </c>
      <c r="D1324" t="s">
        <v>5808</v>
      </c>
      <c r="E1324" t="s">
        <v>5802</v>
      </c>
      <c r="H1324" t="s">
        <v>3930</v>
      </c>
      <c r="I1324" t="s">
        <v>5809</v>
      </c>
    </row>
    <row r="1325" spans="1:9" x14ac:dyDescent="0.35">
      <c r="A1325" t="s">
        <v>5811</v>
      </c>
      <c r="B1325" t="str">
        <f>"9780889773707"</f>
        <v>9780889773707</v>
      </c>
      <c r="C1325" t="s">
        <v>5814</v>
      </c>
      <c r="D1325" t="s">
        <v>5812</v>
      </c>
      <c r="E1325" t="s">
        <v>5802</v>
      </c>
      <c r="F1325" t="s">
        <v>5803</v>
      </c>
      <c r="H1325" t="s">
        <v>1296</v>
      </c>
      <c r="I1325" t="s">
        <v>5813</v>
      </c>
    </row>
    <row r="1326" spans="1:9" x14ac:dyDescent="0.35">
      <c r="A1326" t="s">
        <v>5815</v>
      </c>
      <c r="B1326" t="str">
        <f>"9780889773608"</f>
        <v>9780889773608</v>
      </c>
      <c r="C1326" t="s">
        <v>5818</v>
      </c>
      <c r="D1326" t="s">
        <v>5816</v>
      </c>
      <c r="E1326" t="s">
        <v>5802</v>
      </c>
      <c r="H1326" t="s">
        <v>87</v>
      </c>
      <c r="I1326" t="s">
        <v>5817</v>
      </c>
    </row>
    <row r="1327" spans="1:9" x14ac:dyDescent="0.35">
      <c r="A1327" t="s">
        <v>5819</v>
      </c>
      <c r="B1327" t="str">
        <f>"9780889772977"</f>
        <v>9780889772977</v>
      </c>
      <c r="C1327" t="s">
        <v>5822</v>
      </c>
      <c r="D1327" t="s">
        <v>5820</v>
      </c>
      <c r="E1327" t="s">
        <v>5802</v>
      </c>
      <c r="H1327" t="s">
        <v>29</v>
      </c>
      <c r="I1327" t="s">
        <v>5821</v>
      </c>
    </row>
    <row r="1328" spans="1:9" x14ac:dyDescent="0.35">
      <c r="A1328" t="s">
        <v>5823</v>
      </c>
      <c r="B1328" t="str">
        <f>"9780889774308"</f>
        <v>9780889774308</v>
      </c>
      <c r="C1328" t="s">
        <v>5826</v>
      </c>
      <c r="D1328" t="s">
        <v>5824</v>
      </c>
      <c r="E1328" t="s">
        <v>5802</v>
      </c>
      <c r="H1328" t="s">
        <v>147</v>
      </c>
      <c r="I1328" t="s">
        <v>5825</v>
      </c>
    </row>
    <row r="1329" spans="1:9" x14ac:dyDescent="0.35">
      <c r="A1329" t="s">
        <v>5827</v>
      </c>
      <c r="B1329" t="str">
        <f>"9780889773479"</f>
        <v>9780889773479</v>
      </c>
      <c r="C1329" t="s">
        <v>5830</v>
      </c>
      <c r="D1329" t="s">
        <v>5828</v>
      </c>
      <c r="E1329" t="s">
        <v>5802</v>
      </c>
      <c r="H1329" t="s">
        <v>147</v>
      </c>
      <c r="I1329" t="s">
        <v>5829</v>
      </c>
    </row>
    <row r="1330" spans="1:9" x14ac:dyDescent="0.35">
      <c r="A1330" t="s">
        <v>5831</v>
      </c>
      <c r="B1330" t="str">
        <f>"9780889774186"</f>
        <v>9780889774186</v>
      </c>
      <c r="C1330" t="s">
        <v>5834</v>
      </c>
      <c r="D1330" t="s">
        <v>5832</v>
      </c>
      <c r="E1330" t="s">
        <v>5802</v>
      </c>
      <c r="H1330" t="s">
        <v>1866</v>
      </c>
      <c r="I1330" t="s">
        <v>5833</v>
      </c>
    </row>
    <row r="1331" spans="1:9" x14ac:dyDescent="0.35">
      <c r="A1331" t="s">
        <v>5835</v>
      </c>
      <c r="B1331" t="str">
        <f>"9780889773431"</f>
        <v>9780889773431</v>
      </c>
      <c r="C1331" t="s">
        <v>5838</v>
      </c>
      <c r="D1331" t="s">
        <v>5836</v>
      </c>
      <c r="E1331" t="s">
        <v>5802</v>
      </c>
      <c r="H1331" t="s">
        <v>140</v>
      </c>
      <c r="I1331" t="s">
        <v>5837</v>
      </c>
    </row>
    <row r="1332" spans="1:9" x14ac:dyDescent="0.35">
      <c r="A1332" t="s">
        <v>5839</v>
      </c>
      <c r="B1332" t="str">
        <f>"9780889773547"</f>
        <v>9780889773547</v>
      </c>
      <c r="C1332" t="s">
        <v>5842</v>
      </c>
      <c r="D1332" t="s">
        <v>5840</v>
      </c>
      <c r="E1332" t="s">
        <v>5802</v>
      </c>
      <c r="H1332" t="s">
        <v>111</v>
      </c>
      <c r="I1332" t="s">
        <v>5841</v>
      </c>
    </row>
    <row r="1333" spans="1:9" x14ac:dyDescent="0.35">
      <c r="A1333" t="s">
        <v>5843</v>
      </c>
      <c r="B1333" t="str">
        <f>"9780889773639"</f>
        <v>9780889773639</v>
      </c>
      <c r="C1333" t="s">
        <v>5846</v>
      </c>
      <c r="D1333" t="s">
        <v>5844</v>
      </c>
      <c r="E1333" t="s">
        <v>5802</v>
      </c>
      <c r="H1333" t="s">
        <v>29</v>
      </c>
      <c r="I1333" t="s">
        <v>5845</v>
      </c>
    </row>
    <row r="1334" spans="1:9" x14ac:dyDescent="0.35">
      <c r="A1334" t="s">
        <v>5847</v>
      </c>
      <c r="B1334" t="str">
        <f>"9781317071136"</f>
        <v>9781317071136</v>
      </c>
      <c r="C1334" t="s">
        <v>5851</v>
      </c>
      <c r="D1334" t="s">
        <v>5849</v>
      </c>
      <c r="E1334" t="s">
        <v>9</v>
      </c>
      <c r="F1334" t="s">
        <v>5848</v>
      </c>
      <c r="H1334" t="s">
        <v>29</v>
      </c>
      <c r="I1334" t="s">
        <v>5850</v>
      </c>
    </row>
    <row r="1335" spans="1:9" x14ac:dyDescent="0.35">
      <c r="A1335" t="s">
        <v>5852</v>
      </c>
      <c r="B1335" t="str">
        <f>"9781317157052"</f>
        <v>9781317157052</v>
      </c>
      <c r="C1335" t="s">
        <v>5855</v>
      </c>
      <c r="D1335" t="s">
        <v>5853</v>
      </c>
      <c r="E1335" t="s">
        <v>9</v>
      </c>
      <c r="F1335" t="s">
        <v>357</v>
      </c>
      <c r="H1335" t="s">
        <v>87</v>
      </c>
      <c r="I1335" t="s">
        <v>5854</v>
      </c>
    </row>
    <row r="1336" spans="1:9" x14ac:dyDescent="0.35">
      <c r="A1336" t="s">
        <v>5856</v>
      </c>
      <c r="B1336" t="str">
        <f>"9780887555176"</f>
        <v>9780887555176</v>
      </c>
      <c r="C1336" t="s">
        <v>5859</v>
      </c>
      <c r="D1336" t="s">
        <v>5857</v>
      </c>
      <c r="E1336" t="s">
        <v>5568</v>
      </c>
      <c r="H1336" t="s">
        <v>2835</v>
      </c>
      <c r="I1336" t="s">
        <v>5858</v>
      </c>
    </row>
    <row r="1337" spans="1:9" x14ac:dyDescent="0.35">
      <c r="A1337" t="s">
        <v>5860</v>
      </c>
      <c r="B1337" t="str">
        <f>"9780887555343"</f>
        <v>9780887555343</v>
      </c>
      <c r="C1337" t="s">
        <v>5863</v>
      </c>
      <c r="D1337" t="s">
        <v>5861</v>
      </c>
      <c r="E1337" t="s">
        <v>5568</v>
      </c>
      <c r="F1337" t="s">
        <v>5640</v>
      </c>
      <c r="H1337" t="s">
        <v>29</v>
      </c>
      <c r="I1337" t="s">
        <v>5862</v>
      </c>
    </row>
    <row r="1338" spans="1:9" x14ac:dyDescent="0.35">
      <c r="A1338" t="s">
        <v>5864</v>
      </c>
      <c r="B1338" t="str">
        <f>"9781552389577"</f>
        <v>9781552389577</v>
      </c>
      <c r="C1338" t="s">
        <v>5868</v>
      </c>
      <c r="D1338" t="s">
        <v>5866</v>
      </c>
      <c r="E1338" t="s">
        <v>3416</v>
      </c>
      <c r="F1338" t="s">
        <v>5865</v>
      </c>
      <c r="H1338" t="s">
        <v>55</v>
      </c>
      <c r="I1338" t="s">
        <v>5867</v>
      </c>
    </row>
    <row r="1339" spans="1:9" x14ac:dyDescent="0.35">
      <c r="A1339" t="s">
        <v>5869</v>
      </c>
      <c r="B1339" t="str">
        <f>"9780816538157"</f>
        <v>9780816538157</v>
      </c>
      <c r="C1339" t="s">
        <v>5872</v>
      </c>
      <c r="D1339" t="s">
        <v>5870</v>
      </c>
      <c r="E1339" t="s">
        <v>3875</v>
      </c>
      <c r="H1339" t="s">
        <v>29</v>
      </c>
      <c r="I1339" t="s">
        <v>5871</v>
      </c>
    </row>
    <row r="1340" spans="1:9" x14ac:dyDescent="0.35">
      <c r="A1340" t="s">
        <v>5873</v>
      </c>
      <c r="B1340" t="str">
        <f>"9781760461669"</f>
        <v>9781760461669</v>
      </c>
      <c r="C1340" t="s">
        <v>5877</v>
      </c>
      <c r="D1340" t="s">
        <v>5875</v>
      </c>
      <c r="E1340" t="s">
        <v>5107</v>
      </c>
      <c r="F1340" t="s">
        <v>5874</v>
      </c>
      <c r="H1340" t="s">
        <v>29</v>
      </c>
      <c r="I1340" t="s">
        <v>5876</v>
      </c>
    </row>
    <row r="1341" spans="1:9" x14ac:dyDescent="0.35">
      <c r="A1341" t="s">
        <v>5878</v>
      </c>
      <c r="B1341" t="str">
        <f>"9781496206589"</f>
        <v>9781496206589</v>
      </c>
      <c r="C1341" t="s">
        <v>5882</v>
      </c>
      <c r="D1341" t="s">
        <v>5880</v>
      </c>
      <c r="E1341" t="s">
        <v>874</v>
      </c>
      <c r="F1341" t="s">
        <v>5879</v>
      </c>
      <c r="H1341" t="s">
        <v>265</v>
      </c>
      <c r="I1341" t="s">
        <v>5881</v>
      </c>
    </row>
    <row r="1342" spans="1:9" x14ac:dyDescent="0.35">
      <c r="A1342" t="s">
        <v>5883</v>
      </c>
      <c r="B1342" t="str">
        <f>"9780887555602"</f>
        <v>9780887555602</v>
      </c>
      <c r="C1342" t="s">
        <v>5886</v>
      </c>
      <c r="D1342" t="s">
        <v>5884</v>
      </c>
      <c r="E1342" t="s">
        <v>5568</v>
      </c>
      <c r="H1342" t="s">
        <v>2816</v>
      </c>
      <c r="I1342" t="s">
        <v>5885</v>
      </c>
    </row>
    <row r="1343" spans="1:9" x14ac:dyDescent="0.35">
      <c r="A1343" t="s">
        <v>5887</v>
      </c>
      <c r="B1343" t="str">
        <f>"9780774880077"</f>
        <v>9780774880077</v>
      </c>
      <c r="C1343" t="s">
        <v>5890</v>
      </c>
      <c r="D1343" t="s">
        <v>5888</v>
      </c>
      <c r="E1343" t="s">
        <v>4120</v>
      </c>
      <c r="H1343" t="s">
        <v>233</v>
      </c>
      <c r="I1343" t="s">
        <v>5889</v>
      </c>
    </row>
    <row r="1344" spans="1:9" x14ac:dyDescent="0.35">
      <c r="A1344" t="s">
        <v>5891</v>
      </c>
      <c r="B1344" t="str">
        <f>"9781438469478"</f>
        <v>9781438469478</v>
      </c>
      <c r="C1344" t="s">
        <v>5894</v>
      </c>
      <c r="D1344" t="s">
        <v>5892</v>
      </c>
      <c r="E1344" t="s">
        <v>3753</v>
      </c>
      <c r="F1344" t="s">
        <v>3759</v>
      </c>
      <c r="H1344" t="s">
        <v>201</v>
      </c>
      <c r="I1344" t="s">
        <v>5893</v>
      </c>
    </row>
    <row r="1345" spans="1:9" x14ac:dyDescent="0.35">
      <c r="A1345" t="s">
        <v>5895</v>
      </c>
      <c r="B1345" t="str">
        <f>"9780821446331"</f>
        <v>9780821446331</v>
      </c>
      <c r="C1345" t="s">
        <v>5899</v>
      </c>
      <c r="D1345" t="s">
        <v>5897</v>
      </c>
      <c r="E1345" t="s">
        <v>2641</v>
      </c>
      <c r="F1345" t="s">
        <v>5896</v>
      </c>
      <c r="H1345" t="s">
        <v>29</v>
      </c>
      <c r="I1345" t="s">
        <v>5898</v>
      </c>
    </row>
    <row r="1346" spans="1:9" x14ac:dyDescent="0.35">
      <c r="A1346" t="s">
        <v>5900</v>
      </c>
      <c r="B1346" t="str">
        <f>"9781743437766"</f>
        <v>9781743437766</v>
      </c>
      <c r="C1346" t="s">
        <v>5904</v>
      </c>
      <c r="D1346" t="s">
        <v>5902</v>
      </c>
      <c r="E1346" t="s">
        <v>5901</v>
      </c>
      <c r="H1346" t="s">
        <v>265</v>
      </c>
      <c r="I1346" t="s">
        <v>5903</v>
      </c>
    </row>
    <row r="1347" spans="1:9" x14ac:dyDescent="0.35">
      <c r="A1347" t="s">
        <v>5905</v>
      </c>
      <c r="B1347" t="str">
        <f>"9781760462154"</f>
        <v>9781760462154</v>
      </c>
      <c r="C1347" t="s">
        <v>5908</v>
      </c>
      <c r="D1347" t="s">
        <v>5906</v>
      </c>
      <c r="E1347" t="s">
        <v>5107</v>
      </c>
      <c r="F1347" t="s">
        <v>5284</v>
      </c>
      <c r="H1347" t="s">
        <v>111</v>
      </c>
      <c r="I1347" t="s">
        <v>5907</v>
      </c>
    </row>
    <row r="1348" spans="1:9" x14ac:dyDescent="0.35">
      <c r="A1348" t="s">
        <v>5909</v>
      </c>
      <c r="B1348" t="str">
        <f>"9781553797746"</f>
        <v>9781553797746</v>
      </c>
      <c r="C1348" t="s">
        <v>5913</v>
      </c>
      <c r="D1348" t="s">
        <v>5911</v>
      </c>
      <c r="E1348" t="s">
        <v>5910</v>
      </c>
      <c r="H1348" t="s">
        <v>82</v>
      </c>
      <c r="I1348" t="s">
        <v>5912</v>
      </c>
    </row>
    <row r="1349" spans="1:9" x14ac:dyDescent="0.35">
      <c r="A1349" t="s">
        <v>5914</v>
      </c>
      <c r="B1349" t="str">
        <f>"9780816539062"</f>
        <v>9780816539062</v>
      </c>
      <c r="C1349" t="s">
        <v>5918</v>
      </c>
      <c r="D1349" t="s">
        <v>5915</v>
      </c>
      <c r="E1349" t="s">
        <v>3875</v>
      </c>
      <c r="H1349" t="s">
        <v>5916</v>
      </c>
      <c r="I1349" t="s">
        <v>5917</v>
      </c>
    </row>
    <row r="1350" spans="1:9" x14ac:dyDescent="0.35">
      <c r="A1350" t="s">
        <v>5919</v>
      </c>
      <c r="B1350" t="str">
        <f>"9781760462215"</f>
        <v>9781760462215</v>
      </c>
      <c r="C1350" t="s">
        <v>5923</v>
      </c>
      <c r="D1350" t="s">
        <v>5921</v>
      </c>
      <c r="E1350" t="s">
        <v>5107</v>
      </c>
      <c r="F1350" t="s">
        <v>5920</v>
      </c>
      <c r="H1350" t="s">
        <v>38</v>
      </c>
      <c r="I1350" t="s">
        <v>5922</v>
      </c>
    </row>
    <row r="1351" spans="1:9" x14ac:dyDescent="0.35">
      <c r="A1351" t="s">
        <v>5924</v>
      </c>
      <c r="B1351" t="str">
        <f>"9780295743592"</f>
        <v>9780295743592</v>
      </c>
      <c r="C1351" t="s">
        <v>5926</v>
      </c>
      <c r="D1351" t="s">
        <v>5022</v>
      </c>
      <c r="E1351" t="s">
        <v>4986</v>
      </c>
      <c r="F1351" t="s">
        <v>4996</v>
      </c>
      <c r="H1351" t="s">
        <v>55</v>
      </c>
      <c r="I1351" t="s">
        <v>5925</v>
      </c>
    </row>
    <row r="1352" spans="1:9" x14ac:dyDescent="0.35">
      <c r="A1352" t="s">
        <v>5927</v>
      </c>
      <c r="B1352" t="str">
        <f>"9780295742212"</f>
        <v>9780295742212</v>
      </c>
      <c r="C1352" t="s">
        <v>5930</v>
      </c>
      <c r="D1352" t="s">
        <v>5928</v>
      </c>
      <c r="E1352" t="s">
        <v>4986</v>
      </c>
      <c r="H1352" t="s">
        <v>29</v>
      </c>
      <c r="I1352" t="s">
        <v>5929</v>
      </c>
    </row>
    <row r="1353" spans="1:9" x14ac:dyDescent="0.35">
      <c r="A1353" t="s">
        <v>5931</v>
      </c>
      <c r="B1353" t="str">
        <f>"9780826522139"</f>
        <v>9780826522139</v>
      </c>
      <c r="C1353" t="s">
        <v>5935</v>
      </c>
      <c r="D1353" t="s">
        <v>5933</v>
      </c>
      <c r="E1353" t="s">
        <v>5193</v>
      </c>
      <c r="F1353" t="s">
        <v>5932</v>
      </c>
      <c r="H1353" t="s">
        <v>111</v>
      </c>
      <c r="I1353" t="s">
        <v>5934</v>
      </c>
    </row>
    <row r="1354" spans="1:9" x14ac:dyDescent="0.35">
      <c r="A1354" t="s">
        <v>5936</v>
      </c>
      <c r="B1354" t="str">
        <f>"9789004367418"</f>
        <v>9789004367418</v>
      </c>
      <c r="C1354" t="s">
        <v>5940</v>
      </c>
      <c r="D1354" t="s">
        <v>5938</v>
      </c>
      <c r="E1354" t="s">
        <v>483</v>
      </c>
      <c r="F1354" t="s">
        <v>5937</v>
      </c>
      <c r="H1354" t="s">
        <v>111</v>
      </c>
      <c r="I1354" t="s">
        <v>5939</v>
      </c>
    </row>
    <row r="1355" spans="1:9" x14ac:dyDescent="0.35">
      <c r="A1355" t="s">
        <v>5941</v>
      </c>
      <c r="B1355" t="str">
        <f>"9781784916268"</f>
        <v>9781784916268</v>
      </c>
      <c r="C1355" t="s">
        <v>5946</v>
      </c>
      <c r="D1355" t="s">
        <v>5944</v>
      </c>
      <c r="E1355" t="s">
        <v>5942</v>
      </c>
      <c r="F1355" t="s">
        <v>5943</v>
      </c>
      <c r="H1355" t="s">
        <v>29</v>
      </c>
      <c r="I1355" t="s">
        <v>5945</v>
      </c>
    </row>
  </sheetData>
  <autoFilter ref="A1:F1355" xr:uid="{97C5676B-0B4B-4A8C-80C1-1258D098E33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McCormick</dc:creator>
  <cp:lastModifiedBy>Elizabeth McCormick</cp:lastModifiedBy>
  <dcterms:created xsi:type="dcterms:W3CDTF">2020-08-13T14:32:46Z</dcterms:created>
  <dcterms:modified xsi:type="dcterms:W3CDTF">2020-08-13T14:34:14Z</dcterms:modified>
</cp:coreProperties>
</file>