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uec\Documents\"/>
    </mc:Choice>
  </mc:AlternateContent>
  <xr:revisionPtr revIDLastSave="0" documentId="8_{5581AFE8-A153-4C28-B8A5-901B21E0F9CB}" xr6:coauthVersionLast="45" xr6:coauthVersionMax="45" xr10:uidLastSave="{00000000-0000-0000-0000-000000000000}"/>
  <bookViews>
    <workbookView xWindow="-110" yWindow="-110" windowWidth="19420" windowHeight="11020" xr2:uid="{DF1770F9-CFA4-407E-9AC0-F7E02D63EDEE}"/>
  </bookViews>
  <sheets>
    <sheet name="Sheet1" sheetId="1" r:id="rId1"/>
  </sheets>
  <definedNames>
    <definedName name="_xlnm._FilterDatabase" localSheetId="0" hidden="1">Sheet1!$A$1:$H$1682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82" i="1" l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<sst xmlns="http://schemas.openxmlformats.org/spreadsheetml/2006/main" count="10817" uniqueCount="7373">
  <si>
    <t>Title</t>
  </si>
  <si>
    <t>EIsbn</t>
  </si>
  <si>
    <t>Full Record URL</t>
  </si>
  <si>
    <t>Authors</t>
  </si>
  <si>
    <t>Publisher</t>
  </si>
  <si>
    <t>Series Title</t>
  </si>
  <si>
    <t>Subject</t>
  </si>
  <si>
    <t>Lcsh</t>
  </si>
  <si>
    <t>Education and Dramatic Art</t>
  </si>
  <si>
    <t>https://ebookcentral.proquest.com/lib/viva-active/detail.action?docID=164979</t>
  </si>
  <si>
    <t>Hornbrook, David;Daldry, Stephen</t>
  </si>
  <si>
    <t>Taylor &amp; Francis Group</t>
  </si>
  <si>
    <t>Education; Fine Arts</t>
  </si>
  <si>
    <t>Drama in education -- Great Britain. ; Theater -- Study and teaching (Secondary) -- Great Britain.</t>
  </si>
  <si>
    <t>The Downsizing of Asia</t>
  </si>
  <si>
    <t>https://ebookcentral.proquest.com/lib/viva-active/detail.action?docID=165425</t>
  </si>
  <si>
    <t>Godement, François</t>
  </si>
  <si>
    <t>Business/Management; Economics</t>
  </si>
  <si>
    <t>Financial crises -- Asia. ; Capital market -- Asia. ; Asia -- Economic conditions -- 1945-</t>
  </si>
  <si>
    <t>A Political and Economic Dictionary of Latin America</t>
  </si>
  <si>
    <t>https://ebookcentral.proquest.com/lib/viva-active/detail.action?docID=178945</t>
  </si>
  <si>
    <t>Calvert, Peter</t>
  </si>
  <si>
    <t>Political Science; History</t>
  </si>
  <si>
    <t>Latin America -- Politics and government -- Dictionaries. ; Latin America -- Economic conditions -- Dictionaries.</t>
  </si>
  <si>
    <t>Buyways : Billboards, Automobiles, and the American Landscape</t>
  </si>
  <si>
    <t>https://ebookcentral.proquest.com/lib/viva-active/detail.action?docID=182775</t>
  </si>
  <si>
    <t>Gudis, Catherine</t>
  </si>
  <si>
    <t>Cultural Spaces Ser.</t>
  </si>
  <si>
    <t>Business/Management</t>
  </si>
  <si>
    <t>Automobile travel - United States - History - 20th century</t>
  </si>
  <si>
    <t>On the Streets and in the State House : American Indian and Hispanic Women and Environmental Policymaking in New Mexico</t>
  </si>
  <si>
    <t>https://ebookcentral.proquest.com/lib/viva-active/detail.action?docID=182874</t>
  </si>
  <si>
    <t>Prindeville, Diane-Michele</t>
  </si>
  <si>
    <t>Indigenous Peoples and Politics Ser.</t>
  </si>
  <si>
    <t>History; Environmental Studies; Economics</t>
  </si>
  <si>
    <t>Indian women civic leaders -- New Mexico. ; Hispanic American women civic leaders -- New Mexico. ; Women -- Political activity -- New Mexico. ; Women legislators -- New Mexico. ; Environmental policy -- New Mexico. ; Environmental justice -- New Mexico. ; New Mexico -- Environmental conditions.</t>
  </si>
  <si>
    <t>Intoxicated Identities : Alcohol's Power in Mexican History and Culture</t>
  </si>
  <si>
    <t>https://ebookcentral.proquest.com/lib/viva-active/detail.action?docID=182906</t>
  </si>
  <si>
    <t>Mitchell, Tim</t>
  </si>
  <si>
    <t>Social Science</t>
  </si>
  <si>
    <t>Alcoholism - Mexico</t>
  </si>
  <si>
    <t>Chief Joseph, Yellow Wolf and the Creation of Nez Perce History in the Pacific Northwest</t>
  </si>
  <si>
    <t>https://ebookcentral.proquest.com/lib/viva-active/detail.action?docID=182919</t>
  </si>
  <si>
    <t>McCoy, Robert Ross</t>
  </si>
  <si>
    <t>History</t>
  </si>
  <si>
    <t>Joseph, -- Nez Percé Chief, -- 1840-1904. ; Yellow Wolf, -- 1855-1935. ; Nez Percé Indians -- Historiography. ; Nez Percé Indians -- Cultural assimilation. ; Nez Percé Indians -- Public opinion. ; Ethnohistory -- Northwest, Pacific. ; Assimilation (Sociology) -- Northwest, Pacific.</t>
  </si>
  <si>
    <t>Children's Understanding of Society</t>
  </si>
  <si>
    <t>https://ebookcentral.proquest.com/lib/viva-active/detail.action?docID=198531</t>
  </si>
  <si>
    <t>Barrett, Martyn;Buchanan-Barrow, Eithne</t>
  </si>
  <si>
    <t>Studies in Developmental Psychology Ser.</t>
  </si>
  <si>
    <t>Psychology</t>
  </si>
  <si>
    <t>Social perception in children. ; Perception in children.</t>
  </si>
  <si>
    <t>Black Sexual Politics : African Americans, Gender, and the New Racism</t>
  </si>
  <si>
    <t>https://ebookcentral.proquest.com/lib/viva-active/detail.action?docID=199609</t>
  </si>
  <si>
    <t>Hill Collins, Patricia</t>
  </si>
  <si>
    <t>History; Social Science</t>
  </si>
  <si>
    <t>African Americans - Sexual behavior</t>
  </si>
  <si>
    <t>Native American and Chicano/a Literature of the American Southwest : Intersections of Indigenous Literatures</t>
  </si>
  <si>
    <t>https://ebookcentral.proquest.com/lib/viva-active/detail.action?docID=199641</t>
  </si>
  <si>
    <t>Hebebrand, Christina M.</t>
  </si>
  <si>
    <t>Literature</t>
  </si>
  <si>
    <t>American literature -- Southwestern States -- History and criticism. ; American literature -- Indian authors -- History and criticism. ; American literature -- Mexican American authors -- History and criticism. ; Indians of North America -- Southwestern States -- Intellectual life. ; Mexican Americans -- Southwestern States -- Intellectual life. ; Authors, American -- Homes and haunts -- Southwestern States. ; Mexican Americans in literature.</t>
  </si>
  <si>
    <t>Latino Crossings : Mexicans, Puerto Ricans, and the Politics of Race and Citizenship</t>
  </si>
  <si>
    <t>https://ebookcentral.proquest.com/lib/viva-active/detail.action?docID=200815</t>
  </si>
  <si>
    <t>De Genova, Nicholas;Ramos-Zayas, Ana Yolanda</t>
  </si>
  <si>
    <t>Puerto Ricans - Race identity - Illinois - Chicago</t>
  </si>
  <si>
    <t>Whitewashed Adobe : The Rise of Los Angeles and the Remaking of Its Mexican Past</t>
  </si>
  <si>
    <t>https://ebookcentral.proquest.com/lib/viva-active/detail.action?docID=223367</t>
  </si>
  <si>
    <t>Deverell, William F.</t>
  </si>
  <si>
    <t>University of California Press</t>
  </si>
  <si>
    <t>Mexican Americans -- California -- Los Angeles -- History. ; Los Angeles (Calif.) -- Ethnic relations -- History. ; Los Angeles (Calif.) -- History.</t>
  </si>
  <si>
    <t>MeXicana Encounters : The Making of Social Identities on the Borderlands</t>
  </si>
  <si>
    <t>https://ebookcentral.proquest.com/lib/viva-active/detail.action?docID=223977</t>
  </si>
  <si>
    <t>Fregoso, Rosa Linda</t>
  </si>
  <si>
    <t>American Crossroads Ser.</t>
  </si>
  <si>
    <t>Women - Mexican-American Border Region - Social conditions.</t>
  </si>
  <si>
    <t>La Nueva California : Latinos in the Golden State</t>
  </si>
  <si>
    <t>https://ebookcentral.proquest.com/lib/viva-active/detail.action?docID=224235</t>
  </si>
  <si>
    <t>Hayes-Bautista, David</t>
  </si>
  <si>
    <t>Hispanic Americans -- California -- Social conditions. ; Hispanic Americans -- California -- Statistics. ; Hispanic Americans -- California -- Ethnic identity. ; California -- Social conditions. ; California -- Population. ; California -- Ethnic relations.</t>
  </si>
  <si>
    <t>The near Northwest Side Story : Migration, Displacement, and Puerto Rican Families</t>
  </si>
  <si>
    <t>https://ebookcentral.proquest.com/lib/viva-active/detail.action?docID=224236</t>
  </si>
  <si>
    <t>Perez, Gina</t>
  </si>
  <si>
    <t>Social Science; History</t>
  </si>
  <si>
    <t>Puerto Ricans -- Illinois -- Chicago -- Migrations. ; Chicago (Ill.) -- Emigration and immigration -- History. ; San Sebastián (P.R.) -- Emigration and immigration -- History.</t>
  </si>
  <si>
    <t>Colonial Subjects : Puerto Ricans in a Global Perspective</t>
  </si>
  <si>
    <t>https://ebookcentral.proquest.com/lib/viva-active/detail.action?docID=224251</t>
  </si>
  <si>
    <t xml:space="preserve">Grosfoguel, Ramon;Grosfoguel, Ramon </t>
  </si>
  <si>
    <t>Puerto Ricans -- United States -- History -- 20th century. ; Puerto Ricans -- Migrations -- History -- 20th century. ; Puerto Ricans -- Europe, Western -- History -- 20th century. ; Puerto Rico -- Emigration and immigration -- History -- 20th century. ; United States -- Emigration and immigration -- History -- 20th century. ; Europe, Western -- Emigration and immigration -- History -- 20th century. ; Puerto Rico -- Colonial influence.</t>
  </si>
  <si>
    <t>Barrio Dreams : Puerto Ricans, Latinos, and the Neoliberal City</t>
  </si>
  <si>
    <t>https://ebookcentral.proquest.com/lib/viva-active/detail.action?docID=224777</t>
  </si>
  <si>
    <t>Dávila, Arlene;Dávila, Arlene;Dávila, Arlene;Dvila, Arlene</t>
  </si>
  <si>
    <t>Urban development - New York (State) - New York</t>
  </si>
  <si>
    <t>Raza Si, Guerra No : Chicano Protest and Patriotism During the Viet Nam War Era</t>
  </si>
  <si>
    <t>https://ebookcentral.proquest.com/lib/viva-active/detail.action?docID=227322</t>
  </si>
  <si>
    <t>Oropeza, Lorena</t>
  </si>
  <si>
    <t>History; Political Science</t>
  </si>
  <si>
    <t>Mexican Americans -- Civil rights -- History -- 20th century. ; Mexican Americans -- Politics and government -- 20th century. ; Patriotism -- United States -- History -- 20th century. ; Vietnam War, 1961-1975 -- Protest movements. ; Civil rights movements -- United States -- History -- 20th century. ; Protest movements -- United States -- History -- 20th century.</t>
  </si>
  <si>
    <t>Latino Language and Literacy in Ethnolinguistic Chicago</t>
  </si>
  <si>
    <t>https://ebookcentral.proquest.com/lib/viva-active/detail.action?docID=227476</t>
  </si>
  <si>
    <t>Farr, Marcia</t>
  </si>
  <si>
    <t>Language/Linguistics; Social Science</t>
  </si>
  <si>
    <t>Anthropological linguistics -- Illinois -- Chicago. ; Hispanic Americans -- Illinois -- Chicago -- Languages.</t>
  </si>
  <si>
    <t>Erotic Journeys : Mexican Immigrants and Their Sex Lives</t>
  </si>
  <si>
    <t>https://ebookcentral.proquest.com/lib/viva-active/detail.action?docID=231912</t>
  </si>
  <si>
    <t>Gonzalez-Lopez, Gloria</t>
  </si>
  <si>
    <t>History; Social Science; Geography/Travel</t>
  </si>
  <si>
    <t>Mexican Americans -- Sexual behavior -- California -- Los Angeles. ; Immigrants -- Sexual behavior -- California -- Los Angeles. ; Mexican Americans -- California -- Los Angeles -- Social conditions. ; Immigrants -- California -- Los Angeles -- Social conditions. ; Sex -- Social aspects -- California -- Los Angeles. ; Los Angeles (Calif.) -- Social conditions. ; Los Angeles (Calif.) -- Ethnic relations.</t>
  </si>
  <si>
    <t>Improving the Primary School</t>
  </si>
  <si>
    <t>https://ebookcentral.proquest.com/lib/viva-active/detail.action?docID=237305</t>
  </si>
  <si>
    <t>Dean, Joan;Dean, Joan</t>
  </si>
  <si>
    <t>Educational Management</t>
  </si>
  <si>
    <t>Education</t>
  </si>
  <si>
    <t>Elementary school teaching</t>
  </si>
  <si>
    <t>Fluid Borders : Latino Power, Identity, and Politics in Los Angeles</t>
  </si>
  <si>
    <t>https://ebookcentral.proquest.com/lib/viva-active/detail.action?docID=239225</t>
  </si>
  <si>
    <t>García Bedolla, Lisa;García Bedolla, Lisa;Garca Bedolla, Lisa</t>
  </si>
  <si>
    <t>Hispanic Americans -- California -- Los Angeles -- Interviews. ; Working class -- California -- Los Angeles -- Interviews. ; Hispanic Americans -- California -- Los Angeles -- Politics and government. ; Hispanic Americans -- California -- Los Angeles -- Ethnic identity. ; Hispanic Americans -- California -- Los Angeles -- Social conditions. ; Social classes -- California -- Los Angeles. ; Power (Social sciences) -- California -- Los Angeles.</t>
  </si>
  <si>
    <t>Black, Brown, Yellow, and Left : Radical Activism in Los Angeles</t>
  </si>
  <si>
    <t>https://ebookcentral.proquest.com/lib/viva-active/detail.action?docID=239228</t>
  </si>
  <si>
    <t>Pulido, Laura</t>
  </si>
  <si>
    <t>Radicalism -- California -- Los Angeles -- History -- 20th century. ; Right and left (Political science) ; African Americans -- California -- Los Angeles -- Politics and government -- 20th century. ; Mexican Americans -- California -- Los Angeles -- Politics and government -- 20th century. ; Japanese Americans -- California -- Los Angeles -- Politics and government -- 20th century.</t>
  </si>
  <si>
    <t>Mexican New York : Transnational Lives of New Immigrants</t>
  </si>
  <si>
    <t>https://ebookcentral.proquest.com/lib/viva-active/detail.action?docID=240966</t>
  </si>
  <si>
    <t>Smith, Robert</t>
  </si>
  <si>
    <t>Mexican Americans -- New York (State) -- New York -- Social conditions. ; Immigrants -- New York (State) -- New York -- Social conditions. ; Transnationalism. ; United States -- Relations -- Mexico. ; Mexico -- Relations -- United States. ; New York (N.Y.) -- Emigration and immigration. ; Puebla (Mexico : State) -- Emigration and immigration.</t>
  </si>
  <si>
    <t>Janitors, Street Vendors, and Activists : The Lives of Mexican Immigrants in Silicon Valley</t>
  </si>
  <si>
    <t>https://ebookcentral.proquest.com/lib/viva-active/detail.action?docID=254882</t>
  </si>
  <si>
    <t>Zlolniski, Christian</t>
  </si>
  <si>
    <t>Mexicans -- Employment -- California -- Santa Clara Valley (Santa Clara County) ; Foreign workers, Mexican -- California -- Santa Clara Valley (Santa Clara County) ; Unskilled labor -- California -- Santa Clara Valley (Santa Clara County)</t>
  </si>
  <si>
    <t>Seeking Refuge : Central American Migration to Mexico, the United States, and Canada</t>
  </si>
  <si>
    <t>https://ebookcentral.proquest.com/lib/viva-active/detail.action?docID=254884</t>
  </si>
  <si>
    <t xml:space="preserve">Garcia, Maria Cristina;García, María Cristina;García, Maria Cristina;Garcia, Maria Cristina </t>
  </si>
  <si>
    <t>Social Science; Political Science</t>
  </si>
  <si>
    <t>Political refugees -- Central America. ; Political refugees -- Legal status, laws, etc. -- United States. ; Political refugees -- Legal status, laws, etc. -- Mexico. ; Political refugees -- Legal status, laws, etc. -- Canada.</t>
  </si>
  <si>
    <t>Music and Revolution : Cultural Change in Socialist Cuba</t>
  </si>
  <si>
    <t>https://ebookcentral.proquest.com/lib/viva-active/detail.action?docID=265552</t>
  </si>
  <si>
    <t>Moore, Robin D.</t>
  </si>
  <si>
    <t>Music of the African Diaspora Ser.</t>
  </si>
  <si>
    <t>Fine Arts</t>
  </si>
  <si>
    <t>Music -- Political aspects -- Cuba. ; Music -- Cuba -- 20th century -- History and criticism. ; Socialism and music.</t>
  </si>
  <si>
    <t>Developing Minority Language Resources : The Case of Spanish in California</t>
  </si>
  <si>
    <t>https://ebookcentral.proquest.com/lib/viva-active/detail.action?docID=265915</t>
  </si>
  <si>
    <t>Valdés, Prof. Guadalupe;Fishman, Prof. Joshua A;Chávez, Rebecca;Pérez, William</t>
  </si>
  <si>
    <t>Channel View Publications</t>
  </si>
  <si>
    <t>Bilingual Education &amp; Bilingualism</t>
  </si>
  <si>
    <t>Language/Linguistics</t>
  </si>
  <si>
    <t>Spanish language -- Study and teaching (Secondary) -- California. ; Spanish language -- Study and teaching (Higher) -- California. ; Hispanic Americans -- Education -- California.</t>
  </si>
  <si>
    <t>Latinas in the United States, set : A Historical Encyclopedia</t>
  </si>
  <si>
    <t>https://ebookcentral.proquest.com/lib/viva-active/detail.action?docID=273933</t>
  </si>
  <si>
    <t>Ruiz, Vicki L.;SÃ¡nchez Korrol, Virginia</t>
  </si>
  <si>
    <t>Indiana University Press</t>
  </si>
  <si>
    <t>Hispanic American women -- Biography -- Encyclopedias. ; Women -- United States -- Biography.</t>
  </si>
  <si>
    <t>Progress Against Poverty : Sustaining Mexico's Progresa-Oportunidades Program</t>
  </si>
  <si>
    <t>https://ebookcentral.proquest.com/lib/viva-active/detail.action?docID=286938</t>
  </si>
  <si>
    <t>Levy, Santiago</t>
  </si>
  <si>
    <t>Brookings Institution Press</t>
  </si>
  <si>
    <t>Social Science; Business/Management</t>
  </si>
  <si>
    <t>Programa de Educacion, Salud y Alimentacion (Mexico City, Mexico) - Evaluation</t>
  </si>
  <si>
    <t>Jobs and Economic Development in Minority Communities</t>
  </si>
  <si>
    <t>https://ebookcentral.proquest.com/lib/viva-active/detail.action?docID=298870</t>
  </si>
  <si>
    <t>Ong, Paul;Loukaitou-Sideris, Anastasia</t>
  </si>
  <si>
    <t>Temple University Press</t>
  </si>
  <si>
    <t>Social Science; Economics</t>
  </si>
  <si>
    <t>Community development, Urban -- United States. ; Minorities -- United States -- Economic conditions. ; Minorities -- Employment -- United States.</t>
  </si>
  <si>
    <t>Latinos in New England</t>
  </si>
  <si>
    <t>https://ebookcentral.proquest.com/lib/viva-active/detail.action?docID=298875</t>
  </si>
  <si>
    <t>Torres, Andrés</t>
  </si>
  <si>
    <t>Hispanic Americans -- New England -- Social conditions. ; Hispanic Americans -- New England -- Economic conditions. ; Hispanic Americans -- New England -- Politics and government. ; Hispanic Americans -- New England -- Ethnic identity. ; Hispanic Americans -- Cultural assimilation -- New England. ; New England -- History.</t>
  </si>
  <si>
    <t>Surviving Mexico's Dirty War : A Political Prisoner's Memoir</t>
  </si>
  <si>
    <t>https://ebookcentral.proquest.com/lib/viva-active/detail.action?docID=298885</t>
  </si>
  <si>
    <t xml:space="preserve">Ulloa Bornemann, Alberto;Schmidt, Arthur;Schmidt, Aurora Camacho de;Schmidt, Arthur ;Schmidt, Aurora Camacho de </t>
  </si>
  <si>
    <t>Ulloa Bornemann, Alberto, -- 1941- ; Lecumberri (Prison) ; Political prisoners -- Mexico -- Biography.</t>
  </si>
  <si>
    <t>The Possessive Investment in Whiteness : How White People Profit from Identity Politics, Revised and Expanded Edition</t>
  </si>
  <si>
    <t>https://ebookcentral.proquest.com/lib/viva-active/detail.action?docID=298893</t>
  </si>
  <si>
    <t>Lipsitz, George</t>
  </si>
  <si>
    <t>Whites - Race identity - United States</t>
  </si>
  <si>
    <t>The Farmworkers' Journey</t>
  </si>
  <si>
    <t>https://ebookcentral.proquest.com/lib/viva-active/detail.action?docID=301110</t>
  </si>
  <si>
    <t>Lopez, Ann;Lopez, Ann</t>
  </si>
  <si>
    <t>Agriculture; Business/Management; Economics</t>
  </si>
  <si>
    <t>Migrant agricultural laborers - Mexico</t>
  </si>
  <si>
    <t>Reason to Believe : Cultural Agency in Latin American Evangelicalism</t>
  </si>
  <si>
    <t>https://ebookcentral.proquest.com/lib/viva-active/detail.action?docID=301111</t>
  </si>
  <si>
    <t>Smilde, David</t>
  </si>
  <si>
    <t>The Anthropology of Christianity Ser.</t>
  </si>
  <si>
    <t>Religion</t>
  </si>
  <si>
    <t>Caracas (Venezuela) - Church history</t>
  </si>
  <si>
    <t>Fit to Be Citizens? : Public Health and Race in Los Angeles, 1879-1939</t>
  </si>
  <si>
    <t>https://ebookcentral.proquest.com/lib/viva-active/detail.action?docID=301112</t>
  </si>
  <si>
    <t>Molina, Natalia</t>
  </si>
  <si>
    <t>Social Science; Health</t>
  </si>
  <si>
    <t>Immigrants -- Health and hygiene -- California -- Los Angeles -- History. ; Asian Americans -- Health and hygiene -- California -- Los Angeles -- History. ; Mexican Americans -- Health and hygiene -- California -- Los Angeles -- History. ; Public health -- California -- Los Angeles -- History. ; Los Angeles (Calif.) -- Race relations -- History.</t>
  </si>
  <si>
    <t>Digital Poverty : Latin American and Caribbean Perspectives</t>
  </si>
  <si>
    <t>https://ebookcentral.proquest.com/lib/viva-active/detail.action?docID=306088</t>
  </si>
  <si>
    <t>Galperin, Hernan;Mariscal, Judith</t>
  </si>
  <si>
    <t>International Development Research Centre</t>
  </si>
  <si>
    <t>Business/Management; Social Science</t>
  </si>
  <si>
    <t>Information technology -- Economic aspects -- Latin America. ; Information technology -- Social aspects -- Latin America. ; Digital divide -- Latin America. ; Digital divide -- Caribbean Area. ; Information technology -- Economic aspects -- Caribbean Area. ; Information technology -- Social aspects -- Caribbean Area.</t>
  </si>
  <si>
    <t>Healing from Violence : Latino Men's Journey to a New Masculinity</t>
  </si>
  <si>
    <t>https://ebookcentral.proquest.com/lib/viva-active/detail.action?docID=306123</t>
  </si>
  <si>
    <t>Welland, Christauria;Ribner, Neil</t>
  </si>
  <si>
    <t>Springer Publishing Company</t>
  </si>
  <si>
    <t>Marital violence -- United States. ; Hispanic American men -- Psychology. ; Abusive men -- Behavior modification -- United States.</t>
  </si>
  <si>
    <t>Communication Disorders in Spanish Speakers : Theoretical, Research and Clinical Aspects</t>
  </si>
  <si>
    <t>https://ebookcentral.proquest.com/lib/viva-active/detail.action?docID=307300</t>
  </si>
  <si>
    <t>Centeno, Dr. José G.;Anderson, Dr. Raquel T.;Obler, Loraine K.</t>
  </si>
  <si>
    <t>Communication Disorders Across Languages</t>
  </si>
  <si>
    <t>Medicine</t>
  </si>
  <si>
    <t>Communicative disorders -- Treatment -- United States. ; Communicative disorders in children -- Treatment -- United States. ; Bilingualism -- United States. ; Bilingualism in children -- United States. ; English language -- Acquisition. ; Spanish language -- Acquisition. ; Hispanic Americans -- Language.</t>
  </si>
  <si>
    <t>Language Planning and Policy in Latin America, Vol. 1 : Ecuador, Mexico and Paraguay</t>
  </si>
  <si>
    <t>https://ebookcentral.proquest.com/lib/viva-active/detail.action?docID=307302</t>
  </si>
  <si>
    <t>Baldauf Jr, Dr. Richard B;Kaplan, Prof. Robert B</t>
  </si>
  <si>
    <t>Language Planning and Policy</t>
  </si>
  <si>
    <t>Social Science; Language/Linguistics</t>
  </si>
  <si>
    <t>Language planning -- Latin America. ; Language policy -- Latin America.</t>
  </si>
  <si>
    <t>Being Indian in Hueyapan : A Revised and Updated Edition</t>
  </si>
  <si>
    <t>https://ebookcentral.proquest.com/lib/viva-active/detail.action?docID=307629</t>
  </si>
  <si>
    <t>Friedlander, J.</t>
  </si>
  <si>
    <t>Palgrave Macmillan US</t>
  </si>
  <si>
    <t>Indians of Mexico -- Race identity. ; Nahuas -- Social life and customs. ; Hueyapan (Morelos, Mexico)</t>
  </si>
  <si>
    <t>Latin America: a New Interpretation</t>
  </si>
  <si>
    <t>https://ebookcentral.proquest.com/lib/viva-active/detail.action?docID=307929</t>
  </si>
  <si>
    <t>Whitehead, L.</t>
  </si>
  <si>
    <t>Studies of the Americas Ser.</t>
  </si>
  <si>
    <t>National characteristics, Latin American. ; Latin America -- Civilization.</t>
  </si>
  <si>
    <t>Latinos and Citizenship : The Dilemma of Belonging</t>
  </si>
  <si>
    <t>https://ebookcentral.proquest.com/lib/viva-active/detail.action?docID=307933</t>
  </si>
  <si>
    <t>Oboler, S.</t>
  </si>
  <si>
    <t>Hispanic Americans -- Politics and government. ; Hispanic Americans -- Cultural assimilation. ; Immigrants -- Political activity -- United States. ; Citizenship -- United States. ; United States -- Ethnic relations.</t>
  </si>
  <si>
    <t>Mexican American Girls and Gang Violence : Beyond Risk</t>
  </si>
  <si>
    <t>https://ebookcentral.proquest.com/lib/viva-active/detail.action?docID=307972</t>
  </si>
  <si>
    <t>Valdez, A.</t>
  </si>
  <si>
    <t>Gangs -- Texas -- San Antonio. ; Female gangs -- Texas -- San Antonio. ; Mexican American women -- Texas -- San Antonio. ; Female juvenile delinquents -- Texas -- San Antonio. ; Family violence -- Texas -- San Antonio.</t>
  </si>
  <si>
    <t>Neither Enemies nor Friends : Latinos, Blacks, Afro-Latinos</t>
  </si>
  <si>
    <t>https://ebookcentral.proquest.com/lib/viva-active/detail.action?docID=307999</t>
  </si>
  <si>
    <t>Oboler, S.;Dzidzienyo, A.</t>
  </si>
  <si>
    <t>Racism -- Political aspects -- America. ; Racism -- Political aspects -- Latin America. ; Racism -- Political aspects -- United States. ; African Americans -- Relations with Hispanic Americans. ; African Americans -- Race identity. ; Hispanic Americans -- Race identity. ; Ethnicity -- America.</t>
  </si>
  <si>
    <t>None of the Above : Puerto Ricans in the Global Era</t>
  </si>
  <si>
    <t>https://ebookcentral.proquest.com/lib/viva-active/detail.action?docID=308009</t>
  </si>
  <si>
    <t>Negrón-Muntaner, Frances</t>
  </si>
  <si>
    <t>New Directions in Latino American Cultures Ser.</t>
  </si>
  <si>
    <t>Political culture -- Puerto Rico. ; Nationalism -- Puerto Rico. ; Identity (Psychology) -- Puerto Rico. ; Puerto Rico -- Politics and government -- 1952-1998. ; Puerto Rico -- Relations -- United States. ; United States -- Relations -- Puerto Rico.</t>
  </si>
  <si>
    <t>Political Violence and the Construction of National Identity in Latin America</t>
  </si>
  <si>
    <t>https://ebookcentral.proquest.com/lib/viva-active/detail.action?docID=308038</t>
  </si>
  <si>
    <t>McNab, Chris;Lambert, Peter;Fowler, W.</t>
  </si>
  <si>
    <t>Political violence -- Latin America. ; Nationalism -- Latin America.</t>
  </si>
  <si>
    <t>Remembering Maternal Bodies : Melancholy in Latina and Latin American Women's Writing</t>
  </si>
  <si>
    <t>https://ebookcentral.proquest.com/lib/viva-active/detail.action?docID=308100</t>
  </si>
  <si>
    <t>Trigo, B.</t>
  </si>
  <si>
    <t>Latin American literature -- Women authors -- History and criticism. ; Hispanic American women authors -- Criticism and interpretation. ; Melancholy in literature. ; Mothers in literature.</t>
  </si>
  <si>
    <t>Tradition and Modernity in Spanish American Literature : From Darío to Carpentier</t>
  </si>
  <si>
    <t>https://ebookcentral.proquest.com/lib/viva-active/detail.action?docID=308346</t>
  </si>
  <si>
    <t>Sharman, A.</t>
  </si>
  <si>
    <t>Social Science; Literature</t>
  </si>
  <si>
    <t>Spanish American literature -- History and criticism. ; Modernism (Literature) -- Latin America.</t>
  </si>
  <si>
    <t>When Was Latin America Modern?</t>
  </si>
  <si>
    <t>https://ebookcentral.proquest.com/lib/viva-active/detail.action?docID=308386</t>
  </si>
  <si>
    <t>Miller, N.;Hart, S.</t>
  </si>
  <si>
    <t>Civilization, Modern -- Congresses. ; Latin America -- Civilization -- Congresses.</t>
  </si>
  <si>
    <t>Imagined Underworld : Sex, Crime, and Vice in Porfirian Mexico City</t>
  </si>
  <si>
    <t>https://ebookcentral.proquest.com/lib/viva-active/detail.action?docID=313317</t>
  </si>
  <si>
    <t>Garza, James Alex</t>
  </si>
  <si>
    <t>University of Nebraska Press</t>
  </si>
  <si>
    <t>Crime -- Mexico -- Mexico City -- History -- 19th century. ; Criminals -- Mexico -- Mexico City -- Biography. ; Mexico City (Mexico) -- Social conditions.</t>
  </si>
  <si>
    <t>Playing America's Game : Baseball, Latinos, and the Color Line</t>
  </si>
  <si>
    <t>https://ebookcentral.proquest.com/lib/viva-active/detail.action?docID=314365</t>
  </si>
  <si>
    <t>Burgos, Adrian;Burgos, Adrian Jr</t>
  </si>
  <si>
    <t>Sport &amp;amp; Recreation</t>
  </si>
  <si>
    <t>Hispanic American baseball players -- History. ; Baseball -- United States -- History. ; Racism in sports -- United States -- History. ; United States -- Race relations.</t>
  </si>
  <si>
    <t>Unfolding the City : Women Write the City in Latin America</t>
  </si>
  <si>
    <t>https://ebookcentral.proquest.com/lib/viva-active/detail.action?docID=322592</t>
  </si>
  <si>
    <t>Lambright, Anne;Guerrero, Elisabeth</t>
  </si>
  <si>
    <t>University of Minnesota Press</t>
  </si>
  <si>
    <t>Latin American literature -- Women authors -- History and criticism. ; Cities and towns in literature. ; Latin America -- In literature.</t>
  </si>
  <si>
    <t>Taking Their Word : Literature and the Signs of Central America</t>
  </si>
  <si>
    <t>https://ebookcentral.proquest.com/lib/viva-active/detail.action?docID=328383</t>
  </si>
  <si>
    <t>Arias, Arturo</t>
  </si>
  <si>
    <t>Central American literature -- 20th century -- History and criticism. ; Central American literature -- Mayan influences. ; National characteristics, Central American, in literature.</t>
  </si>
  <si>
    <t>Dying in the Law of Moses : Crypto-Jewish Martyrdom in the Iberian World</t>
  </si>
  <si>
    <t>https://ebookcentral.proquest.com/lib/viva-active/detail.action?docID=329987</t>
  </si>
  <si>
    <t>Bodian, Miriam</t>
  </si>
  <si>
    <t>History; Religion</t>
  </si>
  <si>
    <t>Marranos -- Latin America -- Biography. ; Marranos -- Spain -- Biography. ; Marranos -- Portugal -- Biography. ; Jews -- Persecutions -- Latin America -- History -- 16th century. ; Jews -- Persecutions -- Latin America -- History -- 17th century. ; Jews -- Persecutions -- Spain -- History -- 16th century. ; Jews -- Persecutions -- Spain -- History -- 17th century.</t>
  </si>
  <si>
    <t>Juan Bautista Plaza and Musical Nationalism in Venezuela</t>
  </si>
  <si>
    <t>https://ebookcentral.proquest.com/lib/viva-active/detail.action?docID=334271</t>
  </si>
  <si>
    <t>Labonville, Marie Elizabeth</t>
  </si>
  <si>
    <t>Plaza, Juan Bautista, -- 1898-1965. ; Composers -- Venezuela -- Biography. ; Music -- Venezuela -- 20th century -- History and criticism. ; Nationalism in music.</t>
  </si>
  <si>
    <t>Cesar Chavez : Autobiography of La Causa</t>
  </si>
  <si>
    <t>https://ebookcentral.proquest.com/lib/viva-active/detail.action?docID=335404</t>
  </si>
  <si>
    <t xml:space="preserve">Levy, Jacques E.;Ross, Fred;Levy, Jacqueline M.;Levy, Jacqueline M </t>
  </si>
  <si>
    <t>Chavez, Cesar, -- 1927-1993. ; United Farm Workers. ; Migrant agricultural laborers -- United States -- Biography. ; Labor leaders -- United States -- Biography. ; Mexican Americans -- Biography.</t>
  </si>
  <si>
    <t>Waves of Protest : Popular Struggle in El Salvador, 1925-2005</t>
  </si>
  <si>
    <t>https://ebookcentral.proquest.com/lib/viva-active/detail.action?docID=340772</t>
  </si>
  <si>
    <t>Almeida, Paul D.</t>
  </si>
  <si>
    <t>Protest movements -- El Salvador -- History. ; El Salvador -- Social conditions.</t>
  </si>
  <si>
    <t>Conversion of a Continent : Contemporary Religious Change in Latin America</t>
  </si>
  <si>
    <t>https://ebookcentral.proquest.com/lib/viva-active/detail.action?docID=340811</t>
  </si>
  <si>
    <t>Steigenga, Timothy J.;Cleary, Edward L.</t>
  </si>
  <si>
    <t>Rutgers University Press</t>
  </si>
  <si>
    <t>Conversion -- Latin America. ; Latin America -- Religion.</t>
  </si>
  <si>
    <t>New Race Politics in America : Understanding Minority and Immigrant Politics</t>
  </si>
  <si>
    <t>https://ebookcentral.proquest.com/lib/viva-active/detail.action?docID=343500</t>
  </si>
  <si>
    <t>Junn, Jane;Haynie, Kerry L.</t>
  </si>
  <si>
    <t>Cambridge University Press</t>
  </si>
  <si>
    <t>Political Science</t>
  </si>
  <si>
    <t>Elections -- United States. ; Immigrants -- Political activity -- United States. ; Minorities -- Political activity -- United States. ; Race -- Political aspects -- United States. ; Ethnicity -- Political aspects -- United States. ; Cultural pluralism -- United States. ; United States -- Emigration and immigration -- Political aspects.</t>
  </si>
  <si>
    <t>Cuban Currency : The Dollar and Special Period Fiction</t>
  </si>
  <si>
    <t>https://ebookcentral.proquest.com/lib/viva-active/detail.action?docID=346041</t>
  </si>
  <si>
    <t>Whitfield, Esther</t>
  </si>
  <si>
    <t>Cultural Studies of the Americas</t>
  </si>
  <si>
    <t>Cuban literature -- 20th century -- History and criticism. ; Authorship -- Economic aspects -- Cuba -- History -- 20th century.</t>
  </si>
  <si>
    <t>The Coolie Speaks : Chinese Indentured Laborers and African Slaves in Cuba</t>
  </si>
  <si>
    <t>https://ebookcentral.proquest.com/lib/viva-active/detail.action?docID=349965</t>
  </si>
  <si>
    <t>Yun, Lisa</t>
  </si>
  <si>
    <t>Asian American History and Cultu Ser.</t>
  </si>
  <si>
    <t>Indentured servants -- Cuba -- History. ; Foreign workers, Chinese -- Cuba -- History. ; Slave labor -- Cuba -- History. ; Foreign workers, African -- Cuba -- History. ; Slaves' writings -- Cuba -- History and criticism. ; Revolutionary literature, Cuban -- History and criticism. ; Cuba -- Race relations -- History.</t>
  </si>
  <si>
    <t>Inner Life of Mestizo Nationalism</t>
  </si>
  <si>
    <t>https://ebookcentral.proquest.com/lib/viva-active/detail.action?docID=349973</t>
  </si>
  <si>
    <t>Tarica, Estelle</t>
  </si>
  <si>
    <t>Latin American fiction -- 20th century -- History and criticism. ; Mestizaje in literature. ; Nationalism in literature.</t>
  </si>
  <si>
    <t>The Chumash World at European Contact : Power, Trade, and Feasting among Complex Hunter-Gatherers</t>
  </si>
  <si>
    <t>https://ebookcentral.proquest.com/lib/viva-active/detail.action?docID=358946</t>
  </si>
  <si>
    <t>Gamble, Lynn H.</t>
  </si>
  <si>
    <t>Chumash Indians -- History. ; Chumash Indians -- Social life and customs. ; Indians of North America -- First contact with Europeans -- California. ; California -- Discovery and exploration. ; California -- History -- To 1846. ; Spain -- Colonies -- America -- Administration.</t>
  </si>
  <si>
    <t>The Book of Salsa : A Chronicle of Urban Music from the Caribbean to New York City</t>
  </si>
  <si>
    <t>https://ebookcentral.proquest.com/lib/viva-active/detail.action?docID=361358</t>
  </si>
  <si>
    <t>Rondón, César Miguel;Rondón, César Miguel;White, Jackie</t>
  </si>
  <si>
    <t>University of North Carolina Press</t>
  </si>
  <si>
    <t>Latin America in Translation/en Traducción/em Tradução Ser.</t>
  </si>
  <si>
    <t>Salsa (Music) -- History and criticism. ; Salsa musicians -- Caribbean Area.</t>
  </si>
  <si>
    <t>The Politics of Central American Integration</t>
  </si>
  <si>
    <t>https://ebookcentral.proquest.com/lib/viva-active/detail.action?docID=369077</t>
  </si>
  <si>
    <t>Sánchez Sánchez, Rafael A.</t>
  </si>
  <si>
    <t>Political Science; Business/Management</t>
  </si>
  <si>
    <t>Mercado Comun Centroamericano</t>
  </si>
  <si>
    <t>South American Independence : Gender, Politics, Text</t>
  </si>
  <si>
    <t>https://ebookcentral.proquest.com/lib/viva-active/detail.action?docID=380592</t>
  </si>
  <si>
    <t>Davies, Catherine;Brewster, Claire;Owen, Hilary</t>
  </si>
  <si>
    <t>Liverpool University Press</t>
  </si>
  <si>
    <t>Liverpool Latin American Studies, 7</t>
  </si>
  <si>
    <t>Women -- Political activity -- South America -- History -- 19th century. ; Women and democracy -- South America -- History -- 19th century. ; Sex role -- Political aspects -- South America -- History -- 19th century. ; Women's rights -- South America -- History -- 19th century. ; South America -- Politics and government -- 19th century.</t>
  </si>
  <si>
    <t>Matters of Choice : Puerto Rican Women's Struggle for Reproductive Freedom</t>
  </si>
  <si>
    <t>https://ebookcentral.proquest.com/lib/viva-active/detail.action?docID=409983</t>
  </si>
  <si>
    <t>Lopez, Iris;Lopez, Iris</t>
  </si>
  <si>
    <t>Poor - Puerto Rico</t>
  </si>
  <si>
    <t>Evangelical Christianity and Democracy in Latin America</t>
  </si>
  <si>
    <t>https://ebookcentral.proquest.com/lib/viva-active/detail.action?docID=415284</t>
  </si>
  <si>
    <t>Freston, Paul</t>
  </si>
  <si>
    <t>Oxford University Press USA - OSO</t>
  </si>
  <si>
    <t>Political Science; Religion</t>
  </si>
  <si>
    <t>Evangelicalism -- Political aspects -- Latin America. ; Democracy -- Religious aspects -- Christianity. ; Christianity and politics -- Latin America.</t>
  </si>
  <si>
    <t>Nor-Tec Rifa! : Electronic Dance Music from Tijuana to the World</t>
  </si>
  <si>
    <t>https://ebookcentral.proquest.com/lib/viva-active/detail.action?docID=415595</t>
  </si>
  <si>
    <t>Madrid, Alejandro L.</t>
  </si>
  <si>
    <t>Oxford University Press, Incorporated</t>
  </si>
  <si>
    <t>Currents in Latin American and Iberian Music Ser.</t>
  </si>
  <si>
    <t>Colectivo Nortec. ; Underground dance music -- Mexico -- Tijuana (Baja California) -- History and criticism.</t>
  </si>
  <si>
    <t>Regimes and Democracy in Latin America : Theories and Methods</t>
  </si>
  <si>
    <t>https://ebookcentral.proquest.com/lib/viva-active/detail.action?docID=415708</t>
  </si>
  <si>
    <t>Munck, Gerardo L.</t>
  </si>
  <si>
    <t>Oxford University Press</t>
  </si>
  <si>
    <t>Oxford Studies in Democratization Ser.</t>
  </si>
  <si>
    <t>Democracy -- Latin America. ; Latin America -- Politics and government.</t>
  </si>
  <si>
    <t>Liberation Theology and Sexuality</t>
  </si>
  <si>
    <t>https://ebookcentral.proquest.com/lib/viva-active/detail.action?docID=429648</t>
  </si>
  <si>
    <t>Althaus-Reid, Marcella, Dr</t>
  </si>
  <si>
    <t>Homosexuality -- Religious aspects -- Christianity. ; Liberation theology -- Latin America.</t>
  </si>
  <si>
    <t>Flammable : Environmental Suffering in an Argentine Shantytown</t>
  </si>
  <si>
    <t>https://ebookcentral.proquest.com/lib/viva-active/detail.action?docID=430600</t>
  </si>
  <si>
    <t>Auyero, Javier;Swistun, Debora Alejandra;Swistun, Debora Alejandra</t>
  </si>
  <si>
    <t>Social Science; Environmental Studies</t>
  </si>
  <si>
    <t>Slums -- Argentina -- Buenos Aires Metropolitan Area. ; Poor -- Argentina -- Buenos Aires. ; Hazardous wastes -- Argentina -- Buenos Aires Metropolitan Area.</t>
  </si>
  <si>
    <t>Why David Sometimes Wins : Leadership, Organization, and Strategy in the California Farm Worker Movement</t>
  </si>
  <si>
    <t>https://ebookcentral.proquest.com/lib/viva-active/detail.action?docID=430865</t>
  </si>
  <si>
    <t>Ganz, Marshall</t>
  </si>
  <si>
    <t>Economics; Business/Management</t>
  </si>
  <si>
    <t>United Farm Workers -- History. ; Agricultural laborers -- Labor unions -- California -- History. ; Migrant agricultural laborers -- Labor unions -- California -- History. ; Agricultural laborers -- California -- History.</t>
  </si>
  <si>
    <t>Measuring the New World : Enlightenment Science and South America</t>
  </si>
  <si>
    <t>https://ebookcentral.proquest.com/lib/viva-active/detail.action?docID=432289</t>
  </si>
  <si>
    <t>Safier, Neil</t>
  </si>
  <si>
    <t>University of Chicago Press</t>
  </si>
  <si>
    <t>Science; Science: General</t>
  </si>
  <si>
    <t>Communication in science - Europe - History - 18th century</t>
  </si>
  <si>
    <t>Best Human Resource Management Practices in Latin America</t>
  </si>
  <si>
    <t>https://ebookcentral.proquest.com/lib/viva-active/detail.action?docID=432754</t>
  </si>
  <si>
    <t>Davila, Anabella;Elvira, Marta M.</t>
  </si>
  <si>
    <t>Personnel management - Latin America</t>
  </si>
  <si>
    <t>Argentina : Stories for a Nation</t>
  </si>
  <si>
    <t>https://ebookcentral.proquest.com/lib/viva-active/detail.action?docID=433185</t>
  </si>
  <si>
    <t>Kaminsky, Amy K.</t>
  </si>
  <si>
    <t>Mass media and public opinion. ; Argentina -- In literature. ; Argentina -- In motion pictures. ; Argentina -- Foreign public opinion.</t>
  </si>
  <si>
    <t>Latin American Neostructuralism : The Contradictions of Post-Neoliberal Development</t>
  </si>
  <si>
    <t>https://ebookcentral.proquest.com/lib/viva-active/detail.action?docID=433186</t>
  </si>
  <si>
    <t>Leiva, Fernando Ignacio</t>
  </si>
  <si>
    <t>Economic development -- Latin America. ; Mixed economy -- Latin America. ; Latin America -- Economic conditions -- 1982-</t>
  </si>
  <si>
    <t>Cold War Exiles in Mexico : U.S. Dissidents and the Culture of Critical Resistance</t>
  </si>
  <si>
    <t>https://ebookcentral.proquest.com/lib/viva-active/detail.action?docID=433200</t>
  </si>
  <si>
    <t>Schreiber, Rebecca M.</t>
  </si>
  <si>
    <t>Americans -- Mexico -- History -- 20th century. ; Cold War -- Influence. ; Political refugees -- Mexico -- History -- 20th century. ; Political refugees -- United States -- History -- 20th century. ; Politics and culture -- Mexico. ; Politics and culture -- United States.</t>
  </si>
  <si>
    <t>A Place to Be : Brazilian, Guatemalan, and Mexican Immigrants in Florida's New Destinations</t>
  </si>
  <si>
    <t>https://ebookcentral.proquest.com/lib/viva-active/detail.action?docID=435045</t>
  </si>
  <si>
    <t>Williams, Philip;Steigenga, Timothy J.;Vasquez, Manuel;Lizama, Mirian;Palma, Silvia;Alves, JosÃ©;Ribeiro, Lucia;Solorzano, Carol;de Mola, Patricia Fortuny Loret;VÃ¡squez, Manuel A.</t>
  </si>
  <si>
    <t>Latin Americans -- Florida -- Religion -- Congresses. ; Latin Americans -- Florida -- Social conditions -- Congresses. ; Transnationalism -- Congresses. ; Florida -- Emigration and immigration -- Social aspects -- Congresses.</t>
  </si>
  <si>
    <t>Pleasures and Perils : Girls' Sexuality in a Caribbean Consumer Culture</t>
  </si>
  <si>
    <t>https://ebookcentral.proquest.com/lib/viva-active/detail.action?docID=435051</t>
  </si>
  <si>
    <t>Curtis, Debra</t>
  </si>
  <si>
    <t>Rutgers Series in Childhood Studies</t>
  </si>
  <si>
    <t>Girls -- Sexual behavior -- Saint Kitts and Nevis -- Nevis. ; Girls -- Saint Kitts and Nevis -- Nevis -- Attitudes. ; Sex in popular culture -- Saint Kitts and Nevis -- Nevis. ; Sex -- Social aspects -- Saint Kitts and Nevis -- Nevis.</t>
  </si>
  <si>
    <t>Indianizing Film : Decolonization, the Andes, and the Question of Technology</t>
  </si>
  <si>
    <t>https://ebookcentral.proquest.com/lib/viva-active/detail.action?docID=435060</t>
  </si>
  <si>
    <t>Schiwy, Freya;Petro, Patrice</t>
  </si>
  <si>
    <t>New Directions in International Studies</t>
  </si>
  <si>
    <t>Indian activists - Bolivia</t>
  </si>
  <si>
    <t>Re-Enchanting the World : Maya Protestantism in the Guatemalan Highlands</t>
  </si>
  <si>
    <t>https://ebookcentral.proquest.com/lib/viva-active/detail.action?docID=438221</t>
  </si>
  <si>
    <t xml:space="preserve">Samson, C. Mathews;Paredes, J.Anthony </t>
  </si>
  <si>
    <t>University of Alabama Press</t>
  </si>
  <si>
    <t>Contemporary American Indian Studies</t>
  </si>
  <si>
    <t>Religion; History</t>
  </si>
  <si>
    <t>Mam Indians -- Religion. ; Mam Indians -- Social conditions. ; Cakchikel Indians -- Religion. ; Cakchikel Indians -- Social conditions. ; Indian Presbyterians -- Guatemala. ; Presbyterian Church -- Guatemala. ; Guatemala -- Religious life and customs.</t>
  </si>
  <si>
    <t>Bounded Rationality and Policy Diffusion : Social Sector Reform in Latin America</t>
  </si>
  <si>
    <t>https://ebookcentral.proquest.com/lib/viva-active/detail.action?docID=445568</t>
  </si>
  <si>
    <t>Weyland, Kurt</t>
  </si>
  <si>
    <t>Princeton University Press</t>
  </si>
  <si>
    <t>Decision making -- Latin America -- Case studies. ; Policy sciences. ; Latin America -- Social policy -- Case studies.</t>
  </si>
  <si>
    <t>Informal Coalitions and Policymaking in Latin America : Ecuador in Comparative Perspective</t>
  </si>
  <si>
    <t>https://ebookcentral.proquest.com/lib/viva-active/detail.action?docID=446733</t>
  </si>
  <si>
    <t>Mejía Acosta, Andrés</t>
  </si>
  <si>
    <t>Political planning - Ecuador</t>
  </si>
  <si>
    <t>The Handbook of Spanish Language Media</t>
  </si>
  <si>
    <t>https://ebookcentral.proquest.com/lib/viva-active/detail.action?docID=446735</t>
  </si>
  <si>
    <t>Albarran, Alan</t>
  </si>
  <si>
    <t>Mass media - Spain</t>
  </si>
  <si>
    <t>The Immigrant Divide : How Cuban Americans Changed the U. S. and Their Homeland</t>
  </si>
  <si>
    <t>https://ebookcentral.proquest.com/lib/viva-active/detail.action?docID=446779</t>
  </si>
  <si>
    <t>Eckstein, Susan</t>
  </si>
  <si>
    <t>Cuban Americans - History</t>
  </si>
  <si>
    <t>Oye Como Va! : Hybridity and Identity in Latino Popular Music</t>
  </si>
  <si>
    <t>https://ebookcentral.proquest.com/lib/viva-active/detail.action?docID=449816</t>
  </si>
  <si>
    <t>Pacini Hernandez, Deborah</t>
  </si>
  <si>
    <t>Hispanic Americans -- Music -- Social aspects. ; Popular music -- Social aspects -- United States.</t>
  </si>
  <si>
    <t>Research and International Trade Policy Negotiations : Knowledge and Power in Latin America</t>
  </si>
  <si>
    <t>https://ebookcentral.proquest.com/lib/viva-active/detail.action?docID=452307</t>
  </si>
  <si>
    <t>Botto, Mercedes;Mercedes Botto</t>
  </si>
  <si>
    <t>Routledge Studies in Latin American Politics Ser.</t>
  </si>
  <si>
    <t>Economic development - Effect of education on - Latin America</t>
  </si>
  <si>
    <t>Regional Development and Conflict Management : A Case for Brazil</t>
  </si>
  <si>
    <t>https://ebookcentral.proquest.com/lib/viva-active/detail.action?docID=453234</t>
  </si>
  <si>
    <t>Bar-El, Raphael</t>
  </si>
  <si>
    <t>Emerald Publishing Limited</t>
  </si>
  <si>
    <t>Contributions to Conflict Management, Peace Economics and Development Ser.</t>
  </si>
  <si>
    <t>Conflict management -- Economic aspects -- Brazil -- Ceará (State) ; Regional planning -- Brazil -- Ceará (State) ; Ceara (Brazil : State) -- Economic policy. ; Ceara (Brazil : State) -- Economic conditions -- Regional disparities.</t>
  </si>
  <si>
    <t>Cuba : What Everyone Needs to Know</t>
  </si>
  <si>
    <t>https://ebookcentral.proquest.com/lib/viva-active/detail.action?docID=453647</t>
  </si>
  <si>
    <t>Sweig, Julia E</t>
  </si>
  <si>
    <t>Political science. ; Cuba -- Politics and government -- 1959-1990. ; Cuba -- History -- Revolution, 1959. ; Cuba -- Politics and government -- 1990- ; Cuba -- Foreign relations -- United States. ; United States -- Foreign relations -- Cuba.</t>
  </si>
  <si>
    <t>Looking South : The Evolution of Latin Americanist Scholarship in the United States, 1850-1975</t>
  </si>
  <si>
    <t>https://ebookcentral.proquest.com/lib/viva-active/detail.action?docID=454535</t>
  </si>
  <si>
    <t>Delpar, Helen</t>
  </si>
  <si>
    <t>Latin America - Study and teaching - United States</t>
  </si>
  <si>
    <t>Caciques and Cemi Idols : The Web Spun by Taino Rulers Between Hispaniola and Puerto Rico</t>
  </si>
  <si>
    <t>https://ebookcentral.proquest.com/lib/viva-active/detail.action?docID=454576</t>
  </si>
  <si>
    <t xml:space="preserve">Oliver, José R.;Curet, L. Antonio </t>
  </si>
  <si>
    <t>Caribbean Archaeology and Ethnohistory Ser.</t>
  </si>
  <si>
    <t>Taino Indians -- Religion. ; Taino Indians -- Implements. ; Taino Indians -- Colonization. ; Indians of the West Indies -- First contact with Europeans -- Hispaniola. ; Stone implements -- Hispaniola -- History. ; Icons -- Hispaniola -- History. ; Christianity and culture -- Hispaniola.</t>
  </si>
  <si>
    <t>Puerto Rico in the American Century : A History Since 1898</t>
  </si>
  <si>
    <t>https://ebookcentral.proquest.com/lib/viva-active/detail.action?docID=454798</t>
  </si>
  <si>
    <t>Bernabe, Rafael;Ayala, César J.</t>
  </si>
  <si>
    <t>Puerto Rico - Politics and government - 20th century</t>
  </si>
  <si>
    <t>That Infernal Little Cuban Republic : The United States and the Cuban Revolution</t>
  </si>
  <si>
    <t>https://ebookcentral.proquest.com/lib/viva-active/detail.action?docID=454833</t>
  </si>
  <si>
    <t>Schoultz, Lars</t>
  </si>
  <si>
    <t>Cuba - History - Revolution, 1959-</t>
  </si>
  <si>
    <t>Building a Global Bank : The Transformation of Banco Santander</t>
  </si>
  <si>
    <t>https://ebookcentral.proquest.com/lib/viva-active/detail.action?docID=457737</t>
  </si>
  <si>
    <t>Tschoegl, Adrian;Guillén, Mauro F.;Guillén, Mauro F.;Guillén, Mauro F.;Guillén, Mauro F.;Guillén, Mauro F.;Guilln, Mauro F.</t>
  </si>
  <si>
    <t>Banco Santander Central Hispano -- History. ; Family corporations -- Spain -- Case studies.</t>
  </si>
  <si>
    <t>Structured Finance in Latin America : Channeling Pension Funds to Housing, Infrastructure, and Small Businesses</t>
  </si>
  <si>
    <t>https://ebookcentral.proquest.com/lib/viva-active/detail.action?docID=459383</t>
  </si>
  <si>
    <t xml:space="preserve">Cheikhrouhou, Hela;Salinas, Emanuel;Sirtaine, Sophie;Vittas, Dimitri ;Gwinner, W. Britt ;Pollner, John D. </t>
  </si>
  <si>
    <t>World Bank Publications</t>
  </si>
  <si>
    <t>Economics; Business/Management; Political Science</t>
  </si>
  <si>
    <t>Pension trusts -- Investments -- Latin America. ; Housing -- Finance. ; Infrastructure (Economics) -- Latin America -- Finance. ; Small business -- Latin America -- Finance.</t>
  </si>
  <si>
    <t>Remittances and Development : Lessons from Latin America</t>
  </si>
  <si>
    <t>https://ebookcentral.proquest.com/lib/viva-active/detail.action?docID=459437</t>
  </si>
  <si>
    <t>Fajnzylber, Pablo;Humberto, J. Lopez</t>
  </si>
  <si>
    <t>Emigrant remittances -- Latin America. ; Latin America -- Economic policy.</t>
  </si>
  <si>
    <t>Impact of Private Sector Participation in Infrastructure : Lights, Shadows, and the Road Ahead</t>
  </si>
  <si>
    <t>https://ebookcentral.proquest.com/lib/viva-active/detail.action?docID=459579</t>
  </si>
  <si>
    <t xml:space="preserve">Luis, Andres;Luis, Andres;Vivien, Foster;Haven, Thomas </t>
  </si>
  <si>
    <t>Environmental Studies; Business/Management</t>
  </si>
  <si>
    <t>Infrastructure (Economics) -- Latin America. ; Public-private sector cooperation -- Latin America. ; Public utilities -- Finance. ; Public utilities -- Latin America -- Finance. ; Privatization -- Latin America.</t>
  </si>
  <si>
    <t>China's and India's Challenge to Latin America : Opportunity or Threat?</t>
  </si>
  <si>
    <t>https://ebookcentral.proquest.com/lib/viva-active/detail.action?docID=459629</t>
  </si>
  <si>
    <t xml:space="preserve">Olarreaga, Marcelo;Perry, Guillermo;Perry, Guillermo E. </t>
  </si>
  <si>
    <t>Latin American Development Forum</t>
  </si>
  <si>
    <t>Latin America -- Foreign economic relations -- China. ; China -- Foreign economic relations -- Latin America. ; Latin America -- Foreign economic relations -- India. ; India -- Foreign economic relations -- Latin America.</t>
  </si>
  <si>
    <t>Job Creation in Latin America and the Caribbean : Recent Trends and Policy Challenges</t>
  </si>
  <si>
    <t>https://ebookcentral.proquest.com/lib/viva-active/detail.action?docID=459637</t>
  </si>
  <si>
    <t>Pages, Carmen;Pierre, Gaelle;Scarpetta, Stefano</t>
  </si>
  <si>
    <t>Manpower policy -- Latin America. ; Manpower policy -- Caribbean Area. ; Unemployment -- Latin America. ; Unemployment -- Caribbean Area. ; Latin America -- Economic policy. ; Caribbean Area -- Economic policy.</t>
  </si>
  <si>
    <t>Making Transnational Feminism : Rural Women, NGO Activists, and Northern Donors in Brazil</t>
  </si>
  <si>
    <t>https://ebookcentral.proquest.com/lib/viva-active/detail.action?docID=460353</t>
  </si>
  <si>
    <t>Thayer, Millie</t>
  </si>
  <si>
    <t>Perspectives on Gender Ser.</t>
  </si>
  <si>
    <t>Feminism - Brazil, Northeast</t>
  </si>
  <si>
    <t>Handbook of Latinos and Education : Theory, Research, and Practice</t>
  </si>
  <si>
    <t>https://ebookcentral.proquest.com/lib/viva-active/detail.action?docID=465299</t>
  </si>
  <si>
    <t>Murillo Jr., Enrique G.;Villenas, Sofia;Trinidad Galván, Ruth;Muñoz, Juan Sánchez;Martínez, Corinne;Machado-Casas, Margarita</t>
  </si>
  <si>
    <t>Hispanic Americans - Education</t>
  </si>
  <si>
    <t>Persistent Inequality : Contemporary Realities in the Education of Undocumented Latina/o Students</t>
  </si>
  <si>
    <t>https://ebookcentral.proquest.com/lib/viva-active/detail.action?docID=465375</t>
  </si>
  <si>
    <t>Pabon Lopez, Maria;Lopez, Gerardo R.</t>
  </si>
  <si>
    <t>Latin American students - United States - Social conditions</t>
  </si>
  <si>
    <t>Mexico-U.S. Migration Management : A Binational Approach</t>
  </si>
  <si>
    <t>https://ebookcentral.proquest.com/lib/viva-active/detail.action?docID=466674</t>
  </si>
  <si>
    <t xml:space="preserve">Escobar Latapí, Augustín;Martin, Susan F.;Alba, Francisco ;Clariond, Roberta ;Escobar Latapi, Agustin ;Castro, Rafael Fernandez de ;Lowell, B Lindsay ;Martin, Philip ;Gonzalez, Liliana Meza ;Passel, Jeffrey S. </t>
  </si>
  <si>
    <t>Lexington Books</t>
  </si>
  <si>
    <t>Program in Migration and Refugee Studies</t>
  </si>
  <si>
    <t>Foreign workers, Mexican - United States</t>
  </si>
  <si>
    <t>State Governors in the Mexican Revolution, 1910–1952 : Portraits in Conflict, Courage, and Corruption</t>
  </si>
  <si>
    <t>https://ebookcentral.proquest.com/lib/viva-active/detail.action?docID=466752</t>
  </si>
  <si>
    <t>Buchenau, Jürgen;Beezley, William H.;Beezley, William;Buchenau, J;Chassen-L Pez, Francie;Ervin, Michael A;Fern Ndez Aceves, Mar a Teresa;Gillingham, Paul;Harper, Kristin A;Henderson, Timothy</t>
  </si>
  <si>
    <t>Rowman &amp; Littlefield Publishers</t>
  </si>
  <si>
    <t>Latin American Silhouettes</t>
  </si>
  <si>
    <t>Mexico - History - Revolution, 1910-1920 -</t>
  </si>
  <si>
    <t>Latin American Women Writers : A Resource Guide to Titles in English</t>
  </si>
  <si>
    <t>https://ebookcentral.proquest.com/lib/viva-active/detail.action?docID=467118</t>
  </si>
  <si>
    <t>Leonard, Kathy S.</t>
  </si>
  <si>
    <t>Scarecrow Press</t>
  </si>
  <si>
    <t>General Works/Reference</t>
  </si>
  <si>
    <t>Latin American fiction -- Women authors -- Translations into English -- Bibliography. ; Latin American fiction -- Women authors -- Translations into English -- Indexes. ; American fiction -- Hispanic American authors -- Bibliography. ; American fiction -- Hispanic American authors -- Indexes.</t>
  </si>
  <si>
    <t>Policing Insecurity : Police Reform, Security, and Human Rights in Latin America</t>
  </si>
  <si>
    <t>https://ebookcentral.proquest.com/lib/viva-active/detail.action?docID=467483</t>
  </si>
  <si>
    <t xml:space="preserve">Uildriks, Niels;Dammert, Lucia ;Fruhling, Hugo ;Glebbeek, Marie-Louise ;Harriott, Anthony ;Husain, Saima ;Ungar, Mark </t>
  </si>
  <si>
    <t>Police administration -- Latin America. ; Police -- Government policy -- Latin America. ; National security -- Latin America. ; Human rights -- Europe, Eastern -- Congresses.</t>
  </si>
  <si>
    <t>Imperialism, Neoliberalism and Social Struggles in Latin America : Imperialism, Neoliberalism and Social Struggles in Latin America</t>
  </si>
  <si>
    <t>https://ebookcentral.proquest.com/lib/viva-active/detail.action?docID=467682</t>
  </si>
  <si>
    <t>Dello Buono, Richard Alan;Lara, José Bell</t>
  </si>
  <si>
    <t>BRILL</t>
  </si>
  <si>
    <t>Studies in Critical Social Sciences Ser.</t>
  </si>
  <si>
    <t>Neoliberalism -- Latin America. ; Latin America -- Economic policy. ; Latin America -- Social policy. ; Latin America -- Politics and government -- 1980-</t>
  </si>
  <si>
    <t>Cultural Tourism in Latin America : The Politics of Space and Imagery</t>
  </si>
  <si>
    <t>https://ebookcentral.proquest.com/lib/viva-active/detail.action?docID=467852</t>
  </si>
  <si>
    <t>Baud, Michiel;Ypeij, Annelou</t>
  </si>
  <si>
    <t>CEDLA Latin America Studies (CLAS) Ser.</t>
  </si>
  <si>
    <t>Social Science; Tourism/Hospitality</t>
  </si>
  <si>
    <t>Culture and tourism - Latin America</t>
  </si>
  <si>
    <t>Chains of Gold : Portuguese Migration to Argentina in Transatlantic Perspective</t>
  </si>
  <si>
    <t>https://ebookcentral.proquest.com/lib/viva-active/detail.action?docID=467953</t>
  </si>
  <si>
    <t>Borges, Marcelo J.</t>
  </si>
  <si>
    <t>Studies in Global Social History Ser.</t>
  </si>
  <si>
    <t>Portuguese -- Argentina -- History. ; Immigrants -- Argentina -- History. ; Portuguese -- Argentina -- Social conditions. ; Portuguese -- Argentina -- Economic conditions. ; Social networks -- Argentina -- History. ; Algarve (Portugal) -- Emigration and immigration -- Social aspects. ; Portugal -- Emigration and immigration -- Social aspects.</t>
  </si>
  <si>
    <t>Between Empires : Brazilian Sugar in the Early Atlantic Economy, 1550-1630</t>
  </si>
  <si>
    <t>https://ebookcentral.proquest.com/lib/viva-active/detail.action?docID=468043</t>
  </si>
  <si>
    <t>Ebert, Christopher</t>
  </si>
  <si>
    <t>The Atlantic World Ser.</t>
  </si>
  <si>
    <t>Sugar trade -- Brazil -- History -- 16th century. ; Sugar trade -- Brazil -- History -- 17th century. ; Sugar trade -- Europe, Northern -- History -- 16th century. ; Sugar trade -- Europe, Northern -- History -- 17th century.</t>
  </si>
  <si>
    <t>Spiritual Mapping in the United States and Argentina, 1989-2005 : A Geography of Fear</t>
  </si>
  <si>
    <t>https://ebookcentral.proquest.com/lib/viva-active/detail.action?docID=468141</t>
  </si>
  <si>
    <t>Holvast, René</t>
  </si>
  <si>
    <t>Religion in the Americas Ser.</t>
  </si>
  <si>
    <t>Christianity and geography -- History -- 20th century. ; Spiritual warfare -- United States -- History of doctrines -- 20th century. ; Spiritual warfare -- Argentina -- History of doctrines -- 20th century. ; Christianity and geography -- History -- 21st century. ; Spiritual warfare -- United States -- History of doctrines -- 21st century. ; Spiritual warfare -- Argentina -- History of doctrines -- 21st century. ; United States -- Church history -- 20th century.</t>
  </si>
  <si>
    <t>Latinos in America : Philosophy and Social Identity</t>
  </si>
  <si>
    <t>https://ebookcentral.proquest.com/lib/viva-active/detail.action?docID=470544</t>
  </si>
  <si>
    <t>Gracia, Jorge J. E.</t>
  </si>
  <si>
    <t>John Wiley &amp; Sons, Incorporated</t>
  </si>
  <si>
    <t>Hispanic Americans -- Ethnic identity. ; Hispanic Americans -- Social conditions. ; Hispanic Americans -- Philosophy. ; Ethnicity -- United States -- Philosophy. ; Citizenship -- United States -- Philosophy. ; United States -- Ethnic relations -- Philosophy.</t>
  </si>
  <si>
    <t>Lula of Brazil : The Story So Far</t>
  </si>
  <si>
    <t>https://ebookcentral.proquest.com/lib/viva-active/detail.action?docID=470801</t>
  </si>
  <si>
    <t>Bourne, Richard</t>
  </si>
  <si>
    <t>Presidents - Brazil</t>
  </si>
  <si>
    <t>Mexico, la patria : Propaganda and Production during World War II</t>
  </si>
  <si>
    <t>https://ebookcentral.proquest.com/lib/viva-active/detail.action?docID=471750</t>
  </si>
  <si>
    <t>Rankin, Monica A</t>
  </si>
  <si>
    <t>The Mexican Experience</t>
  </si>
  <si>
    <t>United States. -- Office of Inter-American Affairs -- History. ; Propaganda -- Mexico -- History -- 20th century. ; World War, 1939-1945 -- Mexico. ; World War, 1939-1945 -- Propaganda. ; Mass media -- Political aspects -- Mexico -- History -- 20th century. ; Propaganda, American -- Mexico -- History -- 20th century. ; Propaganda, German -- Mexico -- History -- 20th century.</t>
  </si>
  <si>
    <t>Mainland Passage : The Cultural Anomaly of Puerto Rico</t>
  </si>
  <si>
    <t>https://ebookcentral.proquest.com/lib/viva-active/detail.action?docID=471776</t>
  </si>
  <si>
    <t>Soto-Crespo, Ramón E.</t>
  </si>
  <si>
    <t>Puerto Rican literature -- 20th century -- History and criticism. ; Emigration and immigration in literature. ; National characteristics, Puerto Rican, in literature. ; Literature and history -- Puerto Rico -- History -- 20th century. ; Politics and literature -- Puerto Rico -- History -- 20th century. ; Puerto Rico -- In literature. ; Puerto Rico -- Emigration and immigration -- History -- 20th century.</t>
  </si>
  <si>
    <t>From Out of the Shadows : Mexican Women in Twentieth-Century America</t>
  </si>
  <si>
    <t>https://ebookcentral.proquest.com/lib/viva-active/detail.action?docID=472363</t>
  </si>
  <si>
    <t>Ruiz, Vicki L.</t>
  </si>
  <si>
    <t>Mexican American women -- History -- 20th century. ; Mexican American women -- Social conditions -- 20th century.</t>
  </si>
  <si>
    <t>Ordinary Families, Extraordinary Lives : Assets and Poverty Reduction in Guayaquil, 1978-2004</t>
  </si>
  <si>
    <t>https://ebookcentral.proquest.com/lib/viva-active/detail.action?docID=472727</t>
  </si>
  <si>
    <t>Moser, Caroline O.N.</t>
  </si>
  <si>
    <t>Economic assistance, Domestic - Ecuador - Guayaquil</t>
  </si>
  <si>
    <t>Diario de Oaxaca : A Sketchbook Journal of Two Years in Mexico</t>
  </si>
  <si>
    <t>https://ebookcentral.proquest.com/lib/viva-active/detail.action?docID=473694</t>
  </si>
  <si>
    <t>Kuper, Peter;Solares, Martín</t>
  </si>
  <si>
    <t>PM Press</t>
  </si>
  <si>
    <t>Kuper, Peter, -- 1958- -- Homes and haunts -- Mexico -- Oaxaca (State) -- Comic books, strips, etc. ; Kuper, Peter, -- 1958- -- Diaries -- Comic books, strips, etc. ; Kuper, Peter, -- 1958- -- Notebooks, sketchbooks, etc. ; Cartoonists -- United States -- Diaries -- Comic books, strips, etc. ; Americans -- Mexico -- Oaxaca (State) -- Comic books, strips, etc. ; Strikes and lockouts -- Teachers -- Mexico -- Oaxaca (State) -- History -- 21st century -- Comic books, strips, etc. ; Oaxaca (Mexico : State) -- History -- 21st century -- Comic books, strips, etc.</t>
  </si>
  <si>
    <t>Politics of Cocaine : How U.S. Foreign Policy Has Created a Thriving Drug Industry in Central and South America</t>
  </si>
  <si>
    <t>https://ebookcentral.proquest.com/lib/viva-active/detail.action?docID=473794</t>
  </si>
  <si>
    <t>Marcy, William L.</t>
  </si>
  <si>
    <t>Chicago Review Press</t>
  </si>
  <si>
    <t>Cocaine industry -- Latin America. ; Drug control -- Latin America. ; Drug control -- United States. ; Organized crime -- Latin America. ; Latin America -- Economic conditions -- 20th century. ; United States -- Foreign relations -- Latin America. ; Latin America -- Foreign relations -- United States.</t>
  </si>
  <si>
    <t>Death Squads or Self-Defense Forces? : How Paramilitary Groups Emerge and Challenge Democracy in Latin America</t>
  </si>
  <si>
    <t>https://ebookcentral.proquest.com/lib/viva-active/detail.action?docID=475194</t>
  </si>
  <si>
    <t>Mazzei, Julie</t>
  </si>
  <si>
    <t>Terrorism -- Latin America. ; Paramilitary forces -- Latin America. ; Electronic books.</t>
  </si>
  <si>
    <t>Negotiating Paradise : U. S. Tourism and Empire in Twentieth-Century Latin America</t>
  </si>
  <si>
    <t>https://ebookcentral.proquest.com/lib/viva-active/detail.action?docID=475197</t>
  </si>
  <si>
    <t>Merrill, Dennis</t>
  </si>
  <si>
    <t>Americans -- Latin America -- History -- 20th century. ; Tourists -- Latin America -- History -- 20th century. ; Tourism -- Latin America -- History -- 20th century. ; Tourism -- Political aspects -- Latin America -- History -- 20th century. ; Tourism -- Social aspects -- Latin America -- History -- 20th century. ; United States -- Relations -- Latin America. ; Latin America -- Relations -- United States.</t>
  </si>
  <si>
    <t>Gender and the Mexican Revolution : Yucatán Women and the Realities of Patriarchy</t>
  </si>
  <si>
    <t>https://ebookcentral.proquest.com/lib/viva-active/detail.action?docID=475207</t>
  </si>
  <si>
    <t>Smith, Stephanie J.</t>
  </si>
  <si>
    <t>Yucatan (Mexico: State) - History - Revolution, 1910-1920 - Women</t>
  </si>
  <si>
    <t>Heritage or Heresy : Archaeology and Culture on the Maya Riviera</t>
  </si>
  <si>
    <t>https://ebookcentral.proquest.com/lib/viva-active/detail.action?docID=475240</t>
  </si>
  <si>
    <t xml:space="preserve">Walker, Cameron Jean;Curet, L. Antonio </t>
  </si>
  <si>
    <t>Quintana Roo (Mexico: State) - Description and travel</t>
  </si>
  <si>
    <t>United States-Honduras Remittance Corridor : Acting on Opportunity to Increase Financial Inclusion and Foster Development of a Transitional Economy</t>
  </si>
  <si>
    <t>https://ebookcentral.proquest.com/lib/viva-active/detail.action?docID=476180</t>
  </si>
  <si>
    <t xml:space="preserve">Endo, Isaku;Hirsch, Sarah;Rogge, Jan;Borowik, Kamil </t>
  </si>
  <si>
    <t>World Bank Working Papers</t>
  </si>
  <si>
    <t>Emigrant remittances -- Honduras. ; Hondurans -- United States -- Finance. ; Finance -- Honduras. ; Honduras -- Emigration and immigration -- Economic aspects. ; United States -- Emigration and immigration -- Economic aspects.</t>
  </si>
  <si>
    <t>Accounting for Growth in Latin America and the Caribbean : Improving Corporate Financial reporting to Support Regional Economic Development</t>
  </si>
  <si>
    <t>https://ebookcentral.proquest.com/lib/viva-active/detail.action?docID=476181</t>
  </si>
  <si>
    <t>Fortin, Henri;Barros, Ana Cristina;Cutler, Kit</t>
  </si>
  <si>
    <t>Directions in Development</t>
  </si>
  <si>
    <t>Accounting -- Latin America. ; Accounting -- Caribbean Area. ; Corporations -- Latin America -- Accounting. ; Corporations -- Caribbean Area -- Accounting. ; Economic development -- Latin America. ; Economic development -- Caribbean Area.</t>
  </si>
  <si>
    <t>Low-Carbon Development for Mexico</t>
  </si>
  <si>
    <t>https://ebookcentral.proquest.com/lib/viva-active/detail.action?docID=476185</t>
  </si>
  <si>
    <t xml:space="preserve">Johnson, Todd M.;Alatorre, Claudio;Liu, Feng;Liu, Feng </t>
  </si>
  <si>
    <t>Energy policy -- Mexico. ; Power resources -- Mexico. ; Carbon dioxide mitigation -- Mexico.</t>
  </si>
  <si>
    <t>Promise of Early Childhood Development in Latin America</t>
  </si>
  <si>
    <t>https://ebookcentral.proquest.com/lib/viva-active/detail.action?docID=476205</t>
  </si>
  <si>
    <t>Vegas, Emiliana;Santibanez, Lucrecia;Vegas, Emiliana</t>
  </si>
  <si>
    <t>Children -- Latin America -- Social conditions. ; Children -- Caribbean Area -- Social conditions. ; Child development -- Latin America. ; Child development -- Caribbean Area. ; Child welfare -- Latin America. ; Child welfare -- Caribbean Area.</t>
  </si>
  <si>
    <t>Discrimination in Latin America : An Economic Perspective</t>
  </si>
  <si>
    <t>https://ebookcentral.proquest.com/lib/viva-active/detail.action?docID=476210</t>
  </si>
  <si>
    <t>World Bank;Chong, Alberto;Moro, Andrea</t>
  </si>
  <si>
    <t>Minorities -- Latin America -- Economic conditions. ; Minorities -- Latin America -- Social conditions. ; Discrimination -- Economic aspects -- Latin America. ; Sex discrimination against women -- Economic aspects -- Latin America. ; Race discrimination -- Economic aspects -- Latin America.</t>
  </si>
  <si>
    <t>Argentina : Income Support Policies toward the Bicentennial</t>
  </si>
  <si>
    <t>https://ebookcentral.proquest.com/lib/viva-active/detail.action?docID=476214</t>
  </si>
  <si>
    <t>World Bank</t>
  </si>
  <si>
    <t>Country Studies</t>
  </si>
  <si>
    <t>Income maintenance programs -- Argentina. ; Economic assistance, Domestic -- Argentina. ; Social security -- Argentina. ; Argentina -- Economic policy. ; Argentina -- Social policy.</t>
  </si>
  <si>
    <t>Gender in Bolivian Production : Reducing Differences in Formality and Productivity of Firms</t>
  </si>
  <si>
    <t>https://ebookcentral.proquest.com/lib/viva-active/detail.action?docID=476215</t>
  </si>
  <si>
    <t>World Bank;Seynabou Sakho, Yaye;Lunde, Trine</t>
  </si>
  <si>
    <t>Small business -- Bolivia -- Management -- Sex differences. ; Women-owned business enterprises -- Bolivia -- Management. ; Informal sector (Economics) -- Bolivia. ; Businesswomen -- Bolivia. ; Sex discrimination against women -- Bolivia.</t>
  </si>
  <si>
    <t>Low-Carbon Development : Latin American Responses to Climate Change</t>
  </si>
  <si>
    <t>https://ebookcentral.proquest.com/lib/viva-active/detail.action?docID=476227</t>
  </si>
  <si>
    <t>de la Torre, Augusto;Fajnzylber | Pablo;Nash | John</t>
  </si>
  <si>
    <t>Energy policy -- Latin America. ; Carbon dioxide mitigation -- Latin America. ; Climatic changes -- Latin America.</t>
  </si>
  <si>
    <t>Increasing Formality and Productivity of Bolivian Firms</t>
  </si>
  <si>
    <t>https://ebookcentral.proquest.com/lib/viva-active/detail.action?docID=476235</t>
  </si>
  <si>
    <t>Sakho, Yaye</t>
  </si>
  <si>
    <t>Small business -- Bolivia -- Management. ; Informal sector (Economics) -- Bolivia. ; Industrial productivity -- Bolivia.</t>
  </si>
  <si>
    <t>Asia and Latin America : Political, Economic and Multilateral Relations</t>
  </si>
  <si>
    <t>https://ebookcentral.proquest.com/lib/viva-active/detail.action?docID=484735</t>
  </si>
  <si>
    <t>Dosch, Jö;Jacob, Olaf</t>
  </si>
  <si>
    <t>Routledge Contemporary Asia Ser.</t>
  </si>
  <si>
    <t>Latin America - Relations - Asia</t>
  </si>
  <si>
    <t>Colonial Blackness : A History of Afro-Mexico</t>
  </si>
  <si>
    <t>https://ebookcentral.proquest.com/lib/viva-active/detail.action?docID=485245</t>
  </si>
  <si>
    <t>Bennett, Herman L.</t>
  </si>
  <si>
    <t>Blacks in the Diaspora</t>
  </si>
  <si>
    <t>Blacks -- Mexico -- History -- 17th century. ; Blacks -- Mexico -- Social conditions -- 17th century. ; Mexico -- Race relations -- History -- 17th century.</t>
  </si>
  <si>
    <t>National Camera : Photography and Mexico’s Image Environment</t>
  </si>
  <si>
    <t>https://ebookcentral.proquest.com/lib/viva-active/detail.action?docID=485443</t>
  </si>
  <si>
    <t>Tejada, Roberto</t>
  </si>
  <si>
    <t>Photography -- Mexico -- History. ; Photography -- Social aspects -- Mexico. ; Mexico -- History -- Pictorial works.</t>
  </si>
  <si>
    <t>New Faces, New Voices : The Hispanic Electorate in America</t>
  </si>
  <si>
    <t>https://ebookcentral.proquest.com/lib/viva-active/detail.action?docID=485760</t>
  </si>
  <si>
    <t>Abrajano, Marisa;Alvarez, R. Michael;Abrajano, Marisa A. A.;Alvarez, R. Michael Michael;Abrajano, Marisa A.</t>
  </si>
  <si>
    <t>Voting research - Cross-cultural studies</t>
  </si>
  <si>
    <t>Latin American Development Priorities : Costs and Benefits</t>
  </si>
  <si>
    <t>https://ebookcentral.proquest.com/lib/viva-active/detail.action?docID=487322</t>
  </si>
  <si>
    <t>Lomborg, Bjørn</t>
  </si>
  <si>
    <t>Latin America - Economic policy</t>
  </si>
  <si>
    <t>Indigenous Citizens : Local Liberalism in Early National Oaxaca and Yucatán</t>
  </si>
  <si>
    <t>https://ebookcentral.proquest.com/lib/viva-active/detail.action?docID=487962</t>
  </si>
  <si>
    <t>Caplan, Karen D.</t>
  </si>
  <si>
    <t>Stanford University Press</t>
  </si>
  <si>
    <t>Indians of Mexico -- Mexico -- Oaxaca (State) -- Government relations. ; Indians of Mexico -- Mexico -- Yucatán (State) -- Government relations. ; Liberalism -- Mexico -- Oaxaca (State) -- History -- 19th century. ; Liberalism -- Mexico -- Yucatán (State) -- History -- 19th century. ; Local government -- Mexico -- Oaxaca (State) -- History -- 19th century. ; Local government -- Mexico -- Yucatán (State) -- History -- 19th century.</t>
  </si>
  <si>
    <t>International Management and International Relations : A Critical Perspective from Latin America</t>
  </si>
  <si>
    <t>https://ebookcentral.proquest.com/lib/viva-active/detail.action?docID=487983</t>
  </si>
  <si>
    <t>Guedes, Ana;Faria, Alex</t>
  </si>
  <si>
    <t>Routledge Studies in Management, Organizations and Society Ser.</t>
  </si>
  <si>
    <t>Management -- Latin America. ; Management -- Cross-cultural studies. ; International business enterprises -- Latin America.</t>
  </si>
  <si>
    <t>Comparative Latin American Politics</t>
  </si>
  <si>
    <t>https://ebookcentral.proquest.com/lib/viva-active/detail.action?docID=488076</t>
  </si>
  <si>
    <t>Schneider, Ronald M.</t>
  </si>
  <si>
    <t>Comparative government. ; Latin America -- Politics and government. ; Latin America -- History. ; Latin America -- Economic conditions.</t>
  </si>
  <si>
    <t>Zapatistas : Rebellion from the Grassroots to the Global</t>
  </si>
  <si>
    <t>https://ebookcentral.proquest.com/lib/viva-active/detail.action?docID=488158</t>
  </si>
  <si>
    <t>Khasnabish, Doctor Alex</t>
  </si>
  <si>
    <t>Zed Books</t>
  </si>
  <si>
    <t>Rebels</t>
  </si>
  <si>
    <t>Ejército Zapatista de Liberación Nacional (Mexico) -- History. ; Indians of Mexico -- Mexico -- Chiapas -- Social conditions -- 20th century. ; Social movements -- Mexico -- Chiapas -- History -- 20th century. ; Chiapas (Mexico) -- History -- Peasant Uprising, 1994-</t>
  </si>
  <si>
    <t>A History of Organized Labor in Panama and Central America</t>
  </si>
  <si>
    <t>https://ebookcentral.proquest.com/lib/viva-active/detail.action?docID=491593</t>
  </si>
  <si>
    <t>Alexander, Robert J.;Parker, Eldon M.</t>
  </si>
  <si>
    <t>ABC-CLIO, LLC</t>
  </si>
  <si>
    <t>Non-Ser.</t>
  </si>
  <si>
    <t>Labor unions -- Central America -- History -- 20th century. ; Labor unions -- Panama -- History -- 20th century.</t>
  </si>
  <si>
    <t>Bibliographic Guide to Chicana and Latina Narrative</t>
  </si>
  <si>
    <t>https://ebookcentral.proquest.com/lib/viva-active/detail.action?docID=492049</t>
  </si>
  <si>
    <t>Bibliographies and Indexes in Women's Studies</t>
  </si>
  <si>
    <t>American literature -- Mexican American authors -- Bibliography. ; American literature -- Hispanic American authors -- Bibliography. ; Hispanic American women -- Intellectual life -- Bibliography. ; Mexican American women -- Intellectual life -- Bibliography. ; Women and literature -- United States -- Bibliography. ; Hispanic American women in literature -- Bibliography. ; Mexican American women in literature -- Bibliography.</t>
  </si>
  <si>
    <t>Hermaphroditism, Medical Science and Sexual Identity in Spain, 1850-1960</t>
  </si>
  <si>
    <t>https://ebookcentral.proquest.com/lib/viva-active/detail.action?docID=496649</t>
  </si>
  <si>
    <t>Cleminson, Richard;García, Francisco Vásquez</t>
  </si>
  <si>
    <t>University of Wales Press</t>
  </si>
  <si>
    <t>Iberian and Latin American Studies</t>
  </si>
  <si>
    <t>Intersexuality.</t>
  </si>
  <si>
    <t>The Mexican American Experience : An Encyclopedia</t>
  </si>
  <si>
    <t>https://ebookcentral.proquest.com/lib/viva-active/detail.action?docID=496731</t>
  </si>
  <si>
    <t>Meier, Matt S.;Gutiérrez, Margo</t>
  </si>
  <si>
    <t>Mexican Americans -- Encyclopedias. ; Mexican Americans -- Southwest, New -- Encyclopedias.</t>
  </si>
  <si>
    <t>Salvadoran Americans</t>
  </si>
  <si>
    <t>https://ebookcentral.proquest.com/lib/viva-active/detail.action?docID=496986</t>
  </si>
  <si>
    <t>Cordova, Carlos</t>
  </si>
  <si>
    <t>ABC-CLIO</t>
  </si>
  <si>
    <t>The New Americans</t>
  </si>
  <si>
    <t>Literary collections. -- Ancient, Classical and Mediaeval. -- lcsh ; Coleçoes Literárias. -- Antiga, Clássica e Médieval. -- lcsh ; Colecciones Literarias. -- Antigua, Clásica y medieval. -- lcsh ; Libros electronicos.</t>
  </si>
  <si>
    <t>Mexico's Unrule of Law : Implementing Human Rights in Police and Judicial Reform under Democratization</t>
  </si>
  <si>
    <t>https://ebookcentral.proquest.com/lib/viva-active/detail.action?docID=500944</t>
  </si>
  <si>
    <t>Uildriks, Niels;Tello Peón, Nelia</t>
  </si>
  <si>
    <t>Political Science; Social Science</t>
  </si>
  <si>
    <t>Police brutality - Mexico</t>
  </si>
  <si>
    <t>Learning to Salsa : New Steps in U.S.-Cuba Relations</t>
  </si>
  <si>
    <t>https://ebookcentral.proquest.com/lib/viva-active/detail.action?docID=513995</t>
  </si>
  <si>
    <t>Huddleston, Vicki;Pascual, Carlos</t>
  </si>
  <si>
    <t>Engagement (Philosophy) -- Political aspects. ; Political games. ; Role playing -- Political aspects. ; Social change -- Cuba. ; United States -- Foreign relations -- Cuba. ; Cuba -- Foreign relations -- United States. ; United States -- Relations -- Cuba.</t>
  </si>
  <si>
    <t>Conversations with Mexican American Writers : Languages and Literatures in the Borderlands</t>
  </si>
  <si>
    <t>https://ebookcentral.proquest.com/lib/viva-active/detail.action?docID=515549</t>
  </si>
  <si>
    <t>Mermann-Jozwiak, Elisabeth;Sullivan, Nancy</t>
  </si>
  <si>
    <t>University Press of Mississippi</t>
  </si>
  <si>
    <t>Mexican American authors -- Interviews. ; Authors, American -- 20th century -- Interviews. ; American literature -- Mexican American authors -- History and criticism. ; Mexican American authors -- Political and social views. ; American literature -- Mexican-American Border Region -- History and criticism. ; Mexican Americans -- Intellectual life. ; Mexican Americans in literature.</t>
  </si>
  <si>
    <t>Berimbau : Soul of Brazilian Music</t>
  </si>
  <si>
    <t>https://ebookcentral.proquest.com/lib/viva-active/detail.action?docID=515593</t>
  </si>
  <si>
    <t>Galm, Eric A.</t>
  </si>
  <si>
    <t>Berimbau -- History. ; Music -- Brazil -- History and criticism. ; Music -- Brazil -- African influences.</t>
  </si>
  <si>
    <t>Cinderella in America : A Book of Folk and Fairy Tales</t>
  </si>
  <si>
    <t>https://ebookcentral.proquest.com/lib/viva-active/detail.action?docID=515626</t>
  </si>
  <si>
    <t>McCarthy, William Bernard;McCarthy, William Bernard</t>
  </si>
  <si>
    <t>Social Science; Fiction</t>
  </si>
  <si>
    <t>Tales -- United States. ; United States -- Folklore.</t>
  </si>
  <si>
    <t>From Rainforest to Cane Field in Cuba : An Environmental History Since 1492</t>
  </si>
  <si>
    <t>https://ebookcentral.proquest.com/lib/viva-active/detail.action?docID=515692</t>
  </si>
  <si>
    <t xml:space="preserve">Funes Monzote, Reinaldo;Martin, Alex </t>
  </si>
  <si>
    <t>Envisioning Cuba Ser.</t>
  </si>
  <si>
    <t>Agriculture; Environmental Studies; Economics</t>
  </si>
  <si>
    <t>Sugarcane -- Cuba -- History. ; Sugarcane industry -- Cuba -- History. ; Forest management -- Cuba -- History.</t>
  </si>
  <si>
    <t>Beyond the Alamo : Forging Mexican Ethnicity in San Antonio, 1821-1861</t>
  </si>
  <si>
    <t>https://ebookcentral.proquest.com/lib/viva-active/detail.action?docID=515697</t>
  </si>
  <si>
    <t>Ramos, Raúl A.;Ramos, Raúl A.</t>
  </si>
  <si>
    <t>Mexican Americans -- Texas -- San Antonio -- Ethnic identity. ; Mexican Americans -- Texas -- San Antonio -- History -- 19th century. ; Mexican Americans -- Cultural assimilation -- Texas -- San Antonio. ; San Antonio (Tex.) -- Ethnic relations -- History -- 19th century. ; San Antonio (Tex.) -- History -- 19th century.</t>
  </si>
  <si>
    <t>The Function of Proverbs in Discourse : The Case of a Mexican Transnational Social Network</t>
  </si>
  <si>
    <t>https://ebookcentral.proquest.com/lib/viva-active/detail.action?docID=516534</t>
  </si>
  <si>
    <t>Domínguez Barajas, Elías</t>
  </si>
  <si>
    <t>De Gruyter, Inc.</t>
  </si>
  <si>
    <t>Contributions to the Sociology of Language [CSL] Ser.</t>
  </si>
  <si>
    <t>Language/Linguistics; Literature</t>
  </si>
  <si>
    <t>Proverbs -- History and criticism. ; Discourse analysis.</t>
  </si>
  <si>
    <t>Operation Gatekeeper and Beyond : The War on Illegals and the Remaking of the U. S. - Mexico Boundary</t>
  </si>
  <si>
    <t>https://ebookcentral.proquest.com/lib/viva-active/detail.action?docID=534234</t>
  </si>
  <si>
    <t>Nevins, Joseph</t>
  </si>
  <si>
    <t>Operation Gatekeeper (U.S.)</t>
  </si>
  <si>
    <t>Wealth, Health, and Democracy in East Asia and Latin America</t>
  </si>
  <si>
    <t>https://ebookcentral.proquest.com/lib/viva-active/detail.action?docID=534778</t>
  </si>
  <si>
    <t>McGuire, James W.</t>
  </si>
  <si>
    <t>Infants -- Mortality -- East Asia. ; Infants -- Mortality -- Latin America. ; East Asia -- Social policy. ; East Asia -- Economic policy. ; Latin America -- Social policy. ; Latin America -- Economic policy.</t>
  </si>
  <si>
    <t>Declining Inequality in Latin America : A Decade of Progress?</t>
  </si>
  <si>
    <t>https://ebookcentral.proquest.com/lib/viva-active/detail.action?docID=536944</t>
  </si>
  <si>
    <t>López-Calva, Luis Felipe;Lustig, Nora Claudia</t>
  </si>
  <si>
    <t>Latin America - Social policy - 21st century</t>
  </si>
  <si>
    <t>A Life in Shadow : Aimé Bonpland in Southern South America, 1817-1858</t>
  </si>
  <si>
    <t>https://ebookcentral.proquest.com/lib/viva-active/detail.action?docID=537848</t>
  </si>
  <si>
    <t>Bell, Stephen</t>
  </si>
  <si>
    <t>Bonpland, Aimé, -- 1773-1858 -- Travel -- South America. ; Botanists -- South America -- Biography. ; Naturalists -- South America -- Biography. ; French -- South America -- Biography. ; South America -- History -- 19th century.</t>
  </si>
  <si>
    <t>Remaking Citizenship : Latina Immigrants and New American Politics</t>
  </si>
  <si>
    <t>https://ebookcentral.proquest.com/lib/viva-active/detail.action?docID=537850</t>
  </si>
  <si>
    <t>Coll, Kathleen</t>
  </si>
  <si>
    <t>Citizenship -- Social aspects -- United States. ; Hispanic American women -- Political activity -- California -- San Francisco. ; Hispanic American women -- California -- San Francisco -- Societies and clubs. ; Women immigrants -- Political activity -- California -- San Francisco. ; Women immigrants -- California -- San Francisco -- Societies and clubs. ; United States -- Emigration and immigration -- Social aspects.</t>
  </si>
  <si>
    <t>Ethnic Entrepreneurs : Identity and Development Politics in Latin America</t>
  </si>
  <si>
    <t>https://ebookcentral.proquest.com/lib/viva-active/detail.action?docID=537854</t>
  </si>
  <si>
    <t>DeHart, Monica</t>
  </si>
  <si>
    <t>Ethnicity -- Latin America. ; Economic development -- Social aspects -- Latin America. ; Entrepreneurship -- Social aspects -- Latin America.</t>
  </si>
  <si>
    <t>Border Culture</t>
  </si>
  <si>
    <t>https://ebookcentral.proquest.com/lib/viva-active/detail.action?docID=539634</t>
  </si>
  <si>
    <t>Stavans, Ilan;Ilan, Stavans</t>
  </si>
  <si>
    <t>The Ilan Stavans Library of Latino Civilization Ser.</t>
  </si>
  <si>
    <t>Mexican-American Border Region - Social life and customs</t>
  </si>
  <si>
    <t>César Chávez</t>
  </si>
  <si>
    <t>https://ebookcentral.proquest.com/lib/viva-active/detail.action?docID=539637</t>
  </si>
  <si>
    <t>Chavez, Cesar, -- 1927-1993 -- Juvenile literature. ; United Farm Workers -- History -- Juvenile literature. ; Labor leaders -- United States -- Biography -- Juvenile literature. ; Mexican American migrant agricultural laborers -- Biography -- Juvenile literature. ; Agricultural laborers -- Labor unions -- United States -- History -- Juvenile literature.</t>
  </si>
  <si>
    <t>A Political Philosophy in Public Life : Civic Republicanism in Zapatero's Spain</t>
  </si>
  <si>
    <t>https://ebookcentral.proquest.com/lib/viva-active/detail.action?docID=540271</t>
  </si>
  <si>
    <t>Martí, José Luis;Pettit, Philip;Martí, José Luis</t>
  </si>
  <si>
    <t>Rodríguez Zapatero, José Luis, -- 1960- ; Republicanism -- Spain. ; Spain -- Politics and government -- 1982-</t>
  </si>
  <si>
    <t>Decolonizing Literacy : Mexican Lives in the Era of Global Capitalism</t>
  </si>
  <si>
    <t>https://ebookcentral.proquest.com/lib/viva-active/detail.action?docID=543904</t>
  </si>
  <si>
    <t>Hernandez-Zamora, Gregorio</t>
  </si>
  <si>
    <t>Critical Language and Literacy Studies</t>
  </si>
  <si>
    <t>Education; Social Science</t>
  </si>
  <si>
    <t>Literacy -- Mexico. ; Literacy -- United States. ; Literacy -- Economic aspects. ; Mexicans -- Social conditions. ; Mexicans -- United States -- Social conditions.</t>
  </si>
  <si>
    <t>Campaigning to the New American Electorate : Advertising to Latino Voters</t>
  </si>
  <si>
    <t>https://ebookcentral.proquest.com/lib/viva-active/detail.action?docID=547310</t>
  </si>
  <si>
    <t>Abrajano, Marisa</t>
  </si>
  <si>
    <t>Advertising, Political -- United States. ; Political campaigns -- United States. ; Hispanic Americans -- Politics and government.</t>
  </si>
  <si>
    <t>Latino Lives in America : Making It Home</t>
  </si>
  <si>
    <t>https://ebookcentral.proquest.com/lib/viva-active/detail.action?docID=547378</t>
  </si>
  <si>
    <t>Fraga, Luis Ricardo;Garcia, John A.;Hero, Rodney;Jones-Correa, Michael;Martinez-Ebers, Valerie;Segura, Gary M.</t>
  </si>
  <si>
    <t>Hispanic Americans -- Economic conditions -- 21st century. ; Hispanic Americans -- Social conditions -- 21st century. ; Hispanic Americans -- Politics and government -- 21st century. ; United States -- Ethnic relations.</t>
  </si>
  <si>
    <t>Ethical Borders : NAFTA, Globalization, and Mexican Migration</t>
  </si>
  <si>
    <t>https://ebookcentral.proquest.com/lib/viva-active/detail.action?docID=547430</t>
  </si>
  <si>
    <t>Hing, Bill Ong</t>
  </si>
  <si>
    <t>Foreign workers, Mexican -- United States. ; Mexicans -- Employment -- United States. ; United States -- Emigration and immigration. ; Mexico -- Emigration and immigration.</t>
  </si>
  <si>
    <t>The Wind Doesn't Need a Passport : Stories from the U. S. -Mexico Borderlands</t>
  </si>
  <si>
    <t>https://ebookcentral.proquest.com/lib/viva-active/detail.action?docID=547591</t>
  </si>
  <si>
    <t>Hendricks, Tyche</t>
  </si>
  <si>
    <t>Mexican-American Border Region - Social conditions</t>
  </si>
  <si>
    <t>Puerto Rican Citizen : History and Political Identity in Twentieth-Century New York City</t>
  </si>
  <si>
    <t>https://ebookcentral.proquest.com/lib/viva-active/detail.action?docID=547717</t>
  </si>
  <si>
    <t>Thomas, Lorrin</t>
  </si>
  <si>
    <t>Historical Studies of Urban America</t>
  </si>
  <si>
    <t>Puerto Ricans -- New York (State) -- New York -- Social conditions. ; Puerto Ricans -- New York (State) -- New York -- Economic conditions. ; Puerto Ricans -- New York (State) -- New York -- Politics and government.</t>
  </si>
  <si>
    <t>Jumble of Needs : Womens Activism and Neoliberalism in the Colonias of the Southwest</t>
  </si>
  <si>
    <t>https://ebookcentral.proquest.com/lib/viva-active/detail.action?docID=548053</t>
  </si>
  <si>
    <t>Dolhinow, Rebecca</t>
  </si>
  <si>
    <t>Women in community organization -- New Mexico -- Case studies. ; Community leadership -- New Mexico -- Case studies. ; Women civic leaders -- New Mexico -- Case studies. ; Working poor -- Housing -- New Mexico -- Case studies. ; Mexicans -- Social conditions -- New Mexico -- Case studies. ; Slums -- Social aspects -- New Mexico -- Case studies.</t>
  </si>
  <si>
    <t>Queer Ricans : Cultures and Sexualities in the Diaspora</t>
  </si>
  <si>
    <t>https://ebookcentral.proquest.com/lib/viva-active/detail.action?docID=548055</t>
  </si>
  <si>
    <t>La Fountain-Stokes, Lawrence</t>
  </si>
  <si>
    <t>Minority gays -- United States. ; Puerto Ricans -- United States -- Social life and customs.</t>
  </si>
  <si>
    <t>Running the Border Gauntlet : The Mexican Migrant Controversy</t>
  </si>
  <si>
    <t>https://ebookcentral.proquest.com/lib/viva-active/detail.action?docID=554265</t>
  </si>
  <si>
    <t>French, Laurence</t>
  </si>
  <si>
    <t>Mexico - Emigration and immigration</t>
  </si>
  <si>
    <t>Immigration : Immigration</t>
  </si>
  <si>
    <t>https://ebookcentral.proquest.com/lib/viva-active/detail.action?docID=554362</t>
  </si>
  <si>
    <t>Stavans, Ilan;Stavans, Ilan</t>
  </si>
  <si>
    <t>Hispanic Americans -- Social conditions. ; Hispanic Americans -- Biography. ; Immigrants -- United States. ; United States -- Emigration and immigration. ; Latin America -- Emigration and immigration.</t>
  </si>
  <si>
    <t>Unfinished Revolution : Daniel Ortega and Nicaragua's Struggle for Liberation</t>
  </si>
  <si>
    <t>https://ebookcentral.proquest.com/lib/viva-active/detail.action?docID=554942</t>
  </si>
  <si>
    <t>Morris, Kenneth E.</t>
  </si>
  <si>
    <t>Ortega, Daniel. ; Frente Sandinista de Liberación Nacional. ; National liberation movements -- Nicaragua -- History -- 20th century. ; Nicaragua -- Politics and government -- 1979-1990. ; Nicaragua -- Politics and government -- 1990-</t>
  </si>
  <si>
    <t>Couture and Consensus : Fashion and Politics in Postcolonial Argentina</t>
  </si>
  <si>
    <t>https://ebookcentral.proquest.com/lib/viva-active/detail.action?docID=557539</t>
  </si>
  <si>
    <t>Root, Regina A.</t>
  </si>
  <si>
    <t>Clothing trade -- Argentina -- History. ; Fashion -- Argentina -- History. ; Consumption (Economics) -- Argentina -- History. ; Argentina -- Politics and government -- 1810-</t>
  </si>
  <si>
    <t>The Devil and Commodity Fetishism in South America</t>
  </si>
  <si>
    <t>https://ebookcentral.proquest.com/lib/viva-active/detail.action?docID=565708</t>
  </si>
  <si>
    <t>Taussig, Michael T.</t>
  </si>
  <si>
    <t>Plantations - Colombia - Cauca River Valley</t>
  </si>
  <si>
    <t>Breaks in the Chain : What Immigrant Workers Can Teach America About Democracy</t>
  </si>
  <si>
    <t>https://ebookcentral.proquest.com/lib/viva-active/detail.action?docID=565763</t>
  </si>
  <si>
    <t>Apostolidis, Paul</t>
  </si>
  <si>
    <t>Foreign workers -- United States -- Attitudes. ; Foreign workers -- Political activity -- United States. ; United States -- Emigration and immigration -- Political aspects.</t>
  </si>
  <si>
    <t>The Pastoral Clinic : Addiction and Dispossession along the Rio Grande</t>
  </si>
  <si>
    <t>https://ebookcentral.proquest.com/lib/viva-active/detail.action?docID=566747</t>
  </si>
  <si>
    <t>Garcia, Angela</t>
  </si>
  <si>
    <t>Substance Abuse Treatment Centers - New Mexico</t>
  </si>
  <si>
    <t>Mexico : Why a Few Are Rich and the People Poor</t>
  </si>
  <si>
    <t>https://ebookcentral.proquest.com/lib/viva-active/detail.action?docID=570669</t>
  </si>
  <si>
    <t>Ruiz, Ramon</t>
  </si>
  <si>
    <t>Economic development -- Mexico. ; Poverty -- Mexico. ; Mexico -- Economic conditions. ; Mexico -- Economic policy.</t>
  </si>
  <si>
    <t>Latin America : Its Problems and Its Promise: a Multidisciplinary Introduction</t>
  </si>
  <si>
    <t>https://ebookcentral.proquest.com/lib/viva-active/detail.action?docID=579007</t>
  </si>
  <si>
    <t>Knippers Black, Jan</t>
  </si>
  <si>
    <t>Latin Americans. ; Latin America.</t>
  </si>
  <si>
    <t>Society of the Dead : Quita Manaquita and Palo Praise in Cuba</t>
  </si>
  <si>
    <t>https://ebookcentral.proquest.com/lib/viva-active/detail.action?docID=581281</t>
  </si>
  <si>
    <t>Ochoa, Todd Ramón;Ochoa, Todd Ramón</t>
  </si>
  <si>
    <t>Palo. ; Afro-Caribbean cults -- Cuba. ; Death -- Religious aspects. ; Cuba -- Religious life and customs. ; Cuba -- Religion -- 20th century.</t>
  </si>
  <si>
    <t>Before the Shining Path : Politics in Rural Ayacucho, 1895-1980</t>
  </si>
  <si>
    <t>https://ebookcentral.proquest.com/lib/viva-active/detail.action?docID=584770</t>
  </si>
  <si>
    <t>Heilman, Jaymie</t>
  </si>
  <si>
    <t>Democracy -- Peru. ; Ayacucho (Peru : Dept.) -- Politics and government -- 20th century.</t>
  </si>
  <si>
    <t>Chimalpahin's Conquest : A Nahua Historian's Rewriting of Francisco Lopez de Gomara's la Conquista de Mexico</t>
  </si>
  <si>
    <t>https://ebookcentral.proquest.com/lib/viva-active/detail.action?docID=584775</t>
  </si>
  <si>
    <t>Schroeder, Susan;Schroeder, Susan;Lo´pez de Go´mara, Francisco;Tavarez, David E.;Schroeder, Susan;Cruz, Dr. Anne J.;Roa-de-la Carrera, Cristian Andres;Tavarez, David E.</t>
  </si>
  <si>
    <t>Cortés, Hernán, -- 1485-1547. ; López de Gómara, Francisco, -- 1511-1564. -- Crónica de la Nueva España. ; Nahuas -- Social life and customs -- Early works to 1800. ; Mexico -- History -- Conquest, 1519-1540 -- Early works to 1800. ; Mexico -- History -- Conquest, 1519-1540 -- Historiography.</t>
  </si>
  <si>
    <t>News at Work : Imitation in an Age of Information Abundance</t>
  </si>
  <si>
    <t>https://ebookcentral.proquest.com/lib/viva-active/detail.action?docID=584932</t>
  </si>
  <si>
    <t>Boczkowski, Pablo J.</t>
  </si>
  <si>
    <t>Journalism</t>
  </si>
  <si>
    <t>Online journalism -- Argentina. ; News audiences -- Argentina.</t>
  </si>
  <si>
    <t>Latino Migrants in the Jewish State : Undocumented Lives in Israel</t>
  </si>
  <si>
    <t>https://ebookcentral.proquest.com/lib/viva-active/detail.action?docID=588797</t>
  </si>
  <si>
    <t>Kalir, Barak</t>
  </si>
  <si>
    <t>Immigrants -- Israel. ; Migrant labor -- Israel. ; Latin Americans -- Israel -- Ethnic identity. ; Latin Americans -- Israel -- Government relations. ; Latin Americans -- Cultural assimilation -- Israel. ; Deportation -- Government policy -- Israel. ; Assimilation (Sociology) -- Israel.</t>
  </si>
  <si>
    <t>The Political Economy of Integration : The Experience of Mercosur</t>
  </si>
  <si>
    <t>https://ebookcentral.proquest.com/lib/viva-active/detail.action?docID=589600</t>
  </si>
  <si>
    <t>Cason, Jeffrey W.</t>
  </si>
  <si>
    <t>Routledge Studies in the Modern World Economy</t>
  </si>
  <si>
    <t>South America - Economic integration</t>
  </si>
  <si>
    <t>Modern Brazilian Portuguese Grammar : A Practical Guide</t>
  </si>
  <si>
    <t>https://ebookcentral.proquest.com/lib/viva-active/detail.action?docID=589650</t>
  </si>
  <si>
    <t>Whitlam, John</t>
  </si>
  <si>
    <t>Modern Grammars</t>
  </si>
  <si>
    <t>Portuguese language -- Textbooks for foreign speakers -- English. ; Portuguese language -- Grammar. ; Portuguese language -- Spoken Portuguese.</t>
  </si>
  <si>
    <t>Quality of Life in Latin American Cities : Markets and Perception</t>
  </si>
  <si>
    <t>https://ebookcentral.proquest.com/lib/viva-active/detail.action?docID=589799</t>
  </si>
  <si>
    <t xml:space="preserve">Lora, Eduardo;Powell, Andrew;van Praag, Bernard M.S.;Sanguinetti, Pablo </t>
  </si>
  <si>
    <t>Quality of life -- Latin America. ; Cities and towns -- Latin America. ; Latin America -- Social conditions. ; Latin America -- Economic conditions.</t>
  </si>
  <si>
    <t>Achieving Effective Social Protection for All in Latin America and the Caribbean : From Right to Reality</t>
  </si>
  <si>
    <t>https://ebookcentral.proquest.com/lib/viva-active/detail.action?docID=589801</t>
  </si>
  <si>
    <t xml:space="preserve">Robalino, David A.;Ribe, Helena;Walker, Ian;Walker, Ian </t>
  </si>
  <si>
    <t>Social security -- Latin America. ; Economic assistance, Domestic -- Latin America. ; Public welfare -- Latin America.</t>
  </si>
  <si>
    <t>Financial Services and Preferential Trade Agreements : Lessons from Latin America</t>
  </si>
  <si>
    <t>https://ebookcentral.proquest.com/lib/viva-active/detail.action?docID=589812</t>
  </si>
  <si>
    <t xml:space="preserve">Haddad, Mona E.;Stephanou, Constantinos;Stephanou, Constantinos </t>
  </si>
  <si>
    <t>Financial services industry -- Government policy -- Latin America. ; Latin America -- Commercial treaties. ; Latin America -- Commercial policy.</t>
  </si>
  <si>
    <t>Invisible Poor : A Portrait of Rural Poverty in Argentina</t>
  </si>
  <si>
    <t>https://ebookcentral.proquest.com/lib/viva-active/detail.action?docID=589814</t>
  </si>
  <si>
    <t xml:space="preserve">Demombynes, Gabriel;Verner, Dorte;Verner, Dorte </t>
  </si>
  <si>
    <t>Poverty -- Research -- Argentina. ; Poor -- Research -- Argentina. ; Argentina -- Economic conditions -- 21st century. ; Argentina -- Social conditions -- 21st century.</t>
  </si>
  <si>
    <t>Indigenous Peoples and Climate Change in Latin America and the Caribbean</t>
  </si>
  <si>
    <t>https://ebookcentral.proquest.com/lib/viva-active/detail.action?docID=589815</t>
  </si>
  <si>
    <t>Kronik, Jakob;Verner, Dorte</t>
  </si>
  <si>
    <t>Environmental Studies; Social Science</t>
  </si>
  <si>
    <t>Indigenous peoples -- Ecology -- Latin America. ; Indigenous peoples -- Ecology -- Caribbean Area. ; Human beings -- Climatic factors -- Latin America. ; Human beings -- Climatic factors -- Caribbean Area. ; Climatic changes -- Latin America. ; Climatic changes -- Caribbean Area. ; Latin America -- Environmental conditions.</t>
  </si>
  <si>
    <t>Reducing Poverty, Protecting Livelihoods, and Building Assets in a Changing Climate : Social Implications of Climate Change in Latin America and the Caribbean</t>
  </si>
  <si>
    <t>https://ebookcentral.proquest.com/lib/viva-active/detail.action?docID=589842</t>
  </si>
  <si>
    <t xml:space="preserve">Verner, Dorte;Verner, Dorte </t>
  </si>
  <si>
    <t>Poverty -- Latin America. ; Poverty -- Caribbean Area. ; Climatic changes -- Economic aspects -- Latin America. ; Climatic changes -- Economic aspects -- Caribbean Area. ; Climatic changes -- Social aspects -- Latin America. ; Climatic changes -- Social aspects -- Caribbean Area. ; Human beings -- Climatic factors.</t>
  </si>
  <si>
    <t>Rock the Nation : Latin/o Identities and the Latin Rock Diaspora</t>
  </si>
  <si>
    <t>https://ebookcentral.proquest.com/lib/viva-active/detail.action?docID=592422</t>
  </si>
  <si>
    <t>Avant-Mier, Roberto</t>
  </si>
  <si>
    <t>Bloomsbury Academic &amp; Professional</t>
  </si>
  <si>
    <t>Rock music -- Latin America -- History and criticism. ; Rock music -- United States -- Latin American influences.</t>
  </si>
  <si>
    <t>Blackness in the White Nation : A History of Afro-Uruguay</t>
  </si>
  <si>
    <t>https://ebookcentral.proquest.com/lib/viva-active/detail.action?docID=605904</t>
  </si>
  <si>
    <t>Andrews, George Reid</t>
  </si>
  <si>
    <t>Blacks -- Uruguay -- History. ; Blacks -- Uruguay -- Social conditions -- 19th century. ; Blacks -- Social conditions -- Uruguay -- 20th century. ; Candombe (Dance) -- Uruguay. ; Uruguay -- Race relations.</t>
  </si>
  <si>
    <t>Smeltertown : Making and Remembering a Southwest Border Community</t>
  </si>
  <si>
    <t>https://ebookcentral.proquest.com/lib/viva-active/detail.action?docID=605927</t>
  </si>
  <si>
    <t>Perales, Monica</t>
  </si>
  <si>
    <t>Mexican Americans -- Texas -- Smeltertown -- History. ; Mexican Americans -- Texas -- Smeltertown -- Biography. ; Mexican Americans -- Texas -- Smeltertown -- Ethnic identity. ; Working class -- Texas -- Smeltertown -- History. ; Smelting -- Social aspects -- Texas -- Smeltertown -- History. ; Community life -- Texas -- Smeltertown -- History. ; Collective memory -- Texas -- Smeltertown.</t>
  </si>
  <si>
    <t>The Deepest Wounds : A Labor and Environmental History of Sugar in Northeast Brazil</t>
  </si>
  <si>
    <t>https://ebookcentral.proquest.com/lib/viva-active/detail.action?docID=605932</t>
  </si>
  <si>
    <t>Rogers, Thomas D.</t>
  </si>
  <si>
    <t>Sugar trade -- Brazil -- Pernambuco -- History. ; Sugarcane industry -- Environmental aspects -- Brazil -- Pernambuco -- History. ; Sugarcane industry -- Social aspects -- Brazil -- Pernambuco -- History. ; Pernambuco (Brazil) -- History.</t>
  </si>
  <si>
    <t>Mexico's Economic Dilemma : The Developmental Failure of Neoliberalism</t>
  </si>
  <si>
    <t>https://ebookcentral.proquest.com/lib/viva-active/detail.action?docID=616249</t>
  </si>
  <si>
    <t>Cypher, James M.;Delgado Wise, Raúl;Delgado Wise, Ra L;Delgado Wise, Raul;Cypher, James M</t>
  </si>
  <si>
    <t>Critical Currents in Latin American Perspective Series</t>
  </si>
  <si>
    <t>Mexico - Economic policy - 21st century</t>
  </si>
  <si>
    <t>Venezuela</t>
  </si>
  <si>
    <t>https://ebookcentral.proquest.com/lib/viva-active/detail.action?docID=617080</t>
  </si>
  <si>
    <t>Nichols, Elizabeth Gackstetter;Morse, Kimberly J.</t>
  </si>
  <si>
    <t>Nations in Focus Ser.</t>
  </si>
  <si>
    <t>Venezuela - Economic conditions</t>
  </si>
  <si>
    <t>Splendors of Latin Cinema</t>
  </si>
  <si>
    <t>https://ebookcentral.proquest.com/lib/viva-active/detail.action?docID=617372</t>
  </si>
  <si>
    <t>Hernandez-Rodriguez, R.;Hernandez Rodriguez, Rafael;Hernandez-Rodriguez,</t>
  </si>
  <si>
    <t>Motion pictures - Spain - History - 21st century</t>
  </si>
  <si>
    <t>Pablo Neruda</t>
  </si>
  <si>
    <t>https://ebookcentral.proquest.com/lib/viva-active/detail.action?docID=618767</t>
  </si>
  <si>
    <t>Moran, Dominic</t>
  </si>
  <si>
    <t>Reaktion Books, Limited</t>
  </si>
  <si>
    <t>Critical Lives Ser.</t>
  </si>
  <si>
    <t>Neruda, Pablo, -- 1904-1973. ; Poets, Chilean -- 20th century -- Biography. ; Chilean poetry -- History and criticism.</t>
  </si>
  <si>
    <t>Science in the Spanish and Portuguese Empires, 1500-1800</t>
  </si>
  <si>
    <t>https://ebookcentral.proquest.com/lib/viva-active/detail.action?docID=618842</t>
  </si>
  <si>
    <t xml:space="preserve">Bleichmar, Daniela;De Vos, Paula;Huffine, Kristin;Sheehan, Kevin </t>
  </si>
  <si>
    <t>Science -- Latin America -- History. ; Science -- Spain -- Colonies -- History. ; Science -- Portugal -- Colonies -- History. ; Science -- Latin America -- Historiography. ; Latin America -- History -- To 1830.</t>
  </si>
  <si>
    <t>Dancing with Dynamite : Social Movements and States in Latin America</t>
  </si>
  <si>
    <t>https://ebookcentral.proquest.com/lib/viva-active/detail.action?docID=618992</t>
  </si>
  <si>
    <t>Dangl, Benjamin</t>
  </si>
  <si>
    <t>AK Press</t>
  </si>
  <si>
    <t>Social movements - South America</t>
  </si>
  <si>
    <t>Sports and the Racial Divide : African American and Latino Experience in an Era of Change</t>
  </si>
  <si>
    <t>https://ebookcentral.proquest.com/lib/viva-active/detail.action?docID=619204</t>
  </si>
  <si>
    <t>Lomax, Michael;Shropshire, Kenneth L.</t>
  </si>
  <si>
    <t>Social Science; Sport &amp;amp; Recreation</t>
  </si>
  <si>
    <t>Triangles (Interpersonal relations) -- Fiction. ; Ranchers' spouses -- Fiction. ; Horse trainers -- Fiction. ; Ranch life -- Fiction. ; South Dakota -- Fiction.</t>
  </si>
  <si>
    <t>Classical Spanish Drama in Restoration English (1660–1700)</t>
  </si>
  <si>
    <t>https://ebookcentral.proquest.com/lib/viva-active/detail.action?docID=622302</t>
  </si>
  <si>
    <t>Braga Riera, Jorge</t>
  </si>
  <si>
    <t>John Benjamins Publishing Company</t>
  </si>
  <si>
    <t>Spanish drama -- Translations into English -- History and criticism. ; Translating and interpreting -- England -- History -- 17th century. ; Spanish language -- Translating into English -- History.</t>
  </si>
  <si>
    <t>Experiential Constructions in Yucatec Maya : A typologically based analysis of a functional domain in a Mayan language</t>
  </si>
  <si>
    <t>https://ebookcentral.proquest.com/lib/viva-active/detail.action?docID=622543</t>
  </si>
  <si>
    <t>Verhoeven, Elisabeth</t>
  </si>
  <si>
    <t>Maya language -- Grammar. ; Language and languages.</t>
  </si>
  <si>
    <t>Hispanic Child Languages : Typical and impaired development</t>
  </si>
  <si>
    <t>https://ebookcentral.proquest.com/lib/viva-active/detail.action?docID=622645</t>
  </si>
  <si>
    <t>Grinstead, John</t>
  </si>
  <si>
    <t>Language acquisition. ; Spanish language -- Acquisition. ; Children -- Language. ; Specific language impairment in children. ; Bilingualism in children. ; Language disorders in children.</t>
  </si>
  <si>
    <t>Politeness in Mexico and the United States : A contrastive study of the realization and perception of refusals</t>
  </si>
  <si>
    <t>https://ebookcentral.proquest.com/lib/viva-active/detail.action?docID=622987</t>
  </si>
  <si>
    <t>Félix-Brasdefer, J. César</t>
  </si>
  <si>
    <t>Politeness (Linguistics) -- Mexico. ; Politeness (Linguistics) -- United States. ; Speech acts (Linguistics) ; Interpersonal relations.</t>
  </si>
  <si>
    <t>Dispersing Power : Social Movements as Anti-State Forces</t>
  </si>
  <si>
    <t>https://ebookcentral.proquest.com/lib/viva-active/detail.action?docID=625042</t>
  </si>
  <si>
    <t>Zibechi, Raúl;Ryan, Ramor;Ryan, Ramor</t>
  </si>
  <si>
    <t>Social movements -- Bolivia. ; Power (Social sciences) -- Bolivia. ; Indians of South America -- Bolivia -- Government relations. ; Bolivia -- Politics and government -- 1982-2006.</t>
  </si>
  <si>
    <t>A Poetics of Resistance : The Revolutionary Public Relations of the Zapatista Insurgency</t>
  </si>
  <si>
    <t>https://ebookcentral.proquest.com/lib/viva-active/detail.action?docID=625079</t>
  </si>
  <si>
    <t>Conant, Jeff</t>
  </si>
  <si>
    <t>Ejército Zapatista de Liberación Nacional (Mexico) ; Indians of Mexico -- Mexico -- Chiapas -- Government relations. ; Indians of Mexico -- Civil rights -- Mexico -- Chiapas. ; Political participation -- Mexico -- Chiapas. ; Chiapas (Mexico) -- History -- Peasant Uprising, 1994-</t>
  </si>
  <si>
    <t>Transforming Borders : Chicana/o Popular Culture and Pedagogy</t>
  </si>
  <si>
    <t>https://ebookcentral.proquest.com/lib/viva-active/detail.action?docID=634223</t>
  </si>
  <si>
    <t>Elenes, Alejandra C.;Elenes, Alejandra C</t>
  </si>
  <si>
    <t>Hispanic American women - Education</t>
  </si>
  <si>
    <t>Vicos and Beyond : A Half Century of Applying Anthropology in Peru</t>
  </si>
  <si>
    <t>https://ebookcentral.proquest.com/lib/viva-active/detail.action?docID=634264</t>
  </si>
  <si>
    <t>Greaves, Tom;Bolton, Ralph;Zapata, Florencia;Barnett, Clifford;Doughty, Paul L.;Ochoa, Jorge Flores;Isbell, Billie Jean;Mangin, William;Mayer, Enrique;Mitchell, William P.</t>
  </si>
  <si>
    <t>AltaMira Press</t>
  </si>
  <si>
    <t>Indians of South America - Peru - Vicos -</t>
  </si>
  <si>
    <t>Forceful Negotiations : The Origins of the Pronunciamiento in Nineteenth-Century Mexico</t>
  </si>
  <si>
    <t>https://ebookcentral.proquest.com/lib/viva-active/detail.action?docID=635528</t>
  </si>
  <si>
    <t>Fowler, Will</t>
  </si>
  <si>
    <t>Political culture -- Mexico -- History -- 19th century. ; Political violence -- Mexico -- History -- 19th century. ; Revolutions -- Mexico -- History -- 19th century. ; Government, Resistance to -- Mexico -- History -- 19th century. ; Legitimacy of governments -- Mexico -- History -- 19th century. ; Mexico -- Politics and government -- 1821-1861. ; Mexico -- History -- 1821-1861.</t>
  </si>
  <si>
    <t>Black Soldiers Story : The Narrative of Ricardo Batrell and the Cuban War of Independence</t>
  </si>
  <si>
    <t>https://ebookcentral.proquest.com/lib/viva-active/detail.action?docID=635539</t>
  </si>
  <si>
    <t>Batrell, Ricardo;Sanders, Mark A.</t>
  </si>
  <si>
    <t>iLife. ; Multimedia systems. ; Macintosh (Computer)</t>
  </si>
  <si>
    <t>Post-Socialism Is Not Dead : Reading the Global in Comparative Education</t>
  </si>
  <si>
    <t>https://ebookcentral.proquest.com/lib/viva-active/detail.action?docID=647757</t>
  </si>
  <si>
    <t xml:space="preserve">Silova, Iveta;Wiseman, Alexander W. </t>
  </si>
  <si>
    <t>International Perspectives on Education and Society Ser.</t>
  </si>
  <si>
    <t>Comparative education. ; Education -- Social aspects.</t>
  </si>
  <si>
    <t>Chicano School Failure and Success : Past, Present, and Future</t>
  </si>
  <si>
    <t>https://ebookcentral.proquest.com/lib/viva-active/detail.action?docID=652843</t>
  </si>
  <si>
    <t>Valencia, Richard R.</t>
  </si>
  <si>
    <t>Mexican American students</t>
  </si>
  <si>
    <t>The Routledge Spanish Bilingual Dictionary of Psychology and Psychiatry</t>
  </si>
  <si>
    <t>https://ebookcentral.proquest.com/lib/viva-active/detail.action?docID=652860</t>
  </si>
  <si>
    <t>Kaplan, Steven</t>
  </si>
  <si>
    <t>Psychiatry - Dictionaries - Spanish</t>
  </si>
  <si>
    <t>Gauchos and Foreigners : Glossing Culture and Identity in the Argentine Countryside</t>
  </si>
  <si>
    <t>https://ebookcentral.proquest.com/lib/viva-active/detail.action?docID=653885</t>
  </si>
  <si>
    <t>Huberman, Ariana</t>
  </si>
  <si>
    <t>Gauchos - Argentina - History</t>
  </si>
  <si>
    <t>Braceros : Migrant Citizens and Transnational Subjects in the Postwar United States and Mexico</t>
  </si>
  <si>
    <t>https://ebookcentral.proquest.com/lib/viva-active/detail.action?docID=655806</t>
  </si>
  <si>
    <t>Cohen, Deborah</t>
  </si>
  <si>
    <t>Migrant agricultural laborers -- United States -- History -- 20th century. ; Mexicans -- United States -- History -- 20th century. ; Migrant labor -- Government policy -- United States -- History -- 20th century. ; Transnationalism. ; United States -- Emigration and immigration -- Social aspects. ; Mexico -- Emigration and immigration -- Social aspects. ; United States -- Foreign economic relations -- Mexico.</t>
  </si>
  <si>
    <t>Havana and the Atlantic in the Sixteenth Century</t>
  </si>
  <si>
    <t>https://ebookcentral.proquest.com/lib/viva-active/detail.action?docID=655807</t>
  </si>
  <si>
    <t>de la Fuente, Alejandro</t>
  </si>
  <si>
    <t>Havana (Cuba) -- History -- 16th century. ; Havana (Cuba) -- Economic conditions -- 16th century.</t>
  </si>
  <si>
    <t>Making the Mexican Diabetic : Race, Science, and the Genetics of Inequality</t>
  </si>
  <si>
    <t>https://ebookcentral.proquest.com/lib/viva-active/detail.action?docID=656356</t>
  </si>
  <si>
    <t>Montoya, Michael</t>
  </si>
  <si>
    <t>Health; Social Science</t>
  </si>
  <si>
    <t>Non-insulin-dependent diabetes - Mexico - Genetic aspects</t>
  </si>
  <si>
    <t>The Other West : Latin America from Invasion to Globalization</t>
  </si>
  <si>
    <t>https://ebookcentral.proquest.com/lib/viva-active/detail.action?docID=656357</t>
  </si>
  <si>
    <t>Carmagnani, Marcello;Giammanco Frongia, Rosanna M.</t>
  </si>
  <si>
    <t>California World History Library</t>
  </si>
  <si>
    <t>Latin America - Relations</t>
  </si>
  <si>
    <t>Living in the Crossfire : Favela Residents, Drug Dealers, and Police Violence in Rio de Janeiro</t>
  </si>
  <si>
    <t>https://ebookcentral.proquest.com/lib/viva-active/detail.action?docID=660526</t>
  </si>
  <si>
    <t>Evanson, Philip;Alves, Maria</t>
  </si>
  <si>
    <t>Voices of Latin American Life Ser.</t>
  </si>
  <si>
    <t>Squatter settlements - Brazil - Rio de Janeiro</t>
  </si>
  <si>
    <t>Population Aging : Is Latin America Ready?</t>
  </si>
  <si>
    <t>https://ebookcentral.proquest.com/lib/viva-active/detail.action?docID=660560</t>
  </si>
  <si>
    <t>Cotlear, Daniel</t>
  </si>
  <si>
    <t>Older people -- Caribbean Area -- Economic conditions. ; Older people -- Latin America -- Economic conditions. ; Population aging -- Economic aspects -- Caribbean Area -- Congresses. ; Population aging -- Economic aspects -- Latin America -- Congresses. ; Population aging -- Health aspects -- Caribbean Area -- Congresses. ; Population aging -- Health aspects -- Latin America -- Congresses. ; Population aging -- Social aspects -- Caribbean Area -- Congresses.</t>
  </si>
  <si>
    <t>Peru : Country Program Evaluation for the World Bank Group, 2003-2009</t>
  </si>
  <si>
    <t>https://ebookcentral.proquest.com/lib/viva-active/detail.action?docID=660566</t>
  </si>
  <si>
    <t xml:space="preserve">World Bank;World Bank, </t>
  </si>
  <si>
    <t>Independent Evaluation Group Studies</t>
  </si>
  <si>
    <t>World Bank -- Peru. ; Economics -- Peru. ; Peru -- Economic conditions -- 1968- ; Peru -- Economic policy.</t>
  </si>
  <si>
    <t>Posthegemony : Political Theory and Latin America</t>
  </si>
  <si>
    <t>https://ebookcentral.proquest.com/lib/viva-active/detail.action?docID=661345</t>
  </si>
  <si>
    <t>Beasley-Murray, Jon</t>
  </si>
  <si>
    <t>Sand, George, -- 1804-1876 -- Fiction. ; Women teachers -- Fiction. ; Self-realization in women -- Fiction.</t>
  </si>
  <si>
    <t>Pachakutik : Indigenous Movements and Electoral Politics in Ecuador</t>
  </si>
  <si>
    <t>https://ebookcentral.proquest.com/lib/viva-active/detail.action?docID=662189</t>
  </si>
  <si>
    <t>Becker, Marc</t>
  </si>
  <si>
    <t>Elections - Ecuador</t>
  </si>
  <si>
    <t>Latina/o Discourse in Vernacular Spaces : Somos de Una Voz?</t>
  </si>
  <si>
    <t>https://ebookcentral.proquest.com/lib/viva-active/detail.action?docID=662236</t>
  </si>
  <si>
    <t>Holling, Michelle A.;Calafell, Bernadette M.;Anguiano, Claudia;Avant-Mier, Roberto;Y. Calvente, Lisa B.;Chávez, Karma R.;Córdova, Nathaniel I.;Enck-Wanzer, Darrel;Garza, Teresita;González, Alberto</t>
  </si>
  <si>
    <t>Race, Rites, and Rhetoric: Colors, Cultures, and Communication</t>
  </si>
  <si>
    <t>Hispanic Americans - Languages</t>
  </si>
  <si>
    <t>Hemispheric Giants : The Misunderstood History of U.S.-Brazilian Relations</t>
  </si>
  <si>
    <t>https://ebookcentral.proquest.com/lib/viva-active/detail.action?docID=662317</t>
  </si>
  <si>
    <t>Crandall, Britta H.</t>
  </si>
  <si>
    <t>Brazil - Foreign relations - United States</t>
  </si>
  <si>
    <t>Historical Dictionary of Latin American Literature and Theater</t>
  </si>
  <si>
    <t>https://ebookcentral.proquest.com/lib/viva-active/detail.action?docID=662342</t>
  </si>
  <si>
    <t>Young, Richard;Cisneros, Odile</t>
  </si>
  <si>
    <t>Historical Dictionaries of Literature and the Arts</t>
  </si>
  <si>
    <t>Theater - Latin America</t>
  </si>
  <si>
    <t>A Lexicon of Terror : Argentina and the Legacies of Torture, Revised and Updated with a New Epilogue</t>
  </si>
  <si>
    <t>https://ebookcentral.proquest.com/lib/viva-active/detail.action?docID=665409</t>
  </si>
  <si>
    <t>Feitlowitz;Feitlowitz, Marguerite</t>
  </si>
  <si>
    <t>Rhetoric -- Political aspects -- Argentina -- History. ; Political violence -- Argentina -- History. ; Disappeared persons -- Argentina -- History. ; Terrorism -- Argentina -- History. ; Argentina -- Politics and government -- 1955-1983.</t>
  </si>
  <si>
    <t>A Concise History of Bolivia</t>
  </si>
  <si>
    <t>https://ebookcentral.proquest.com/lib/viva-active/detail.action?docID=667625</t>
  </si>
  <si>
    <t>Klein, Herbert S.</t>
  </si>
  <si>
    <t>Cambridge Concise Histories</t>
  </si>
  <si>
    <t>Bolivia -- History.</t>
  </si>
  <si>
    <t>US Policy Towards Cuba : Since the Cold War</t>
  </si>
  <si>
    <t>https://ebookcentral.proquest.com/lib/viva-active/detail.action?docID=668229</t>
  </si>
  <si>
    <t>Gibbs, Jessica</t>
  </si>
  <si>
    <t>Routledge Studies in US Foreign Policy Ser.</t>
  </si>
  <si>
    <t>Cuba - Foreign relations - United States</t>
  </si>
  <si>
    <t>Voices from the Nueva Frontera : Latino Immigration in Dalton, Georgia</t>
  </si>
  <si>
    <t>https://ebookcentral.proquest.com/lib/viva-active/detail.action?docID=668923</t>
  </si>
  <si>
    <t>Davis, Donald E.;Boyle, David P.;Deaton, Thomas M.;Schick, Jo-Anne ;Schick, Jo-Anne</t>
  </si>
  <si>
    <t>University of Tennessee Press</t>
  </si>
  <si>
    <t>Hispanic Americans -- Civilization. ; Immigrants -- Georgia -- Dalton (Whitfield County) -- Social conditions. ; Latin Americans -- Georgia -- Dalton (Whitfield County)</t>
  </si>
  <si>
    <t>Blowout! : Sal Castro and the Chicano Struggle for Educational Justice</t>
  </si>
  <si>
    <t>https://ebookcentral.proquest.com/lib/viva-active/detail.action?docID=673638</t>
  </si>
  <si>
    <t>García, Mario T.;Castro, Sal;García, Mario T.</t>
  </si>
  <si>
    <t>Castro, Sal. ; Hispanic Americans -- Education -- United States. ; Hispanic Americans -- Civil rights -- History -- 20th century. ; Educational equalization -- United States. ; Race discrimination -- United States. ; United States -- Race relations.</t>
  </si>
  <si>
    <t>Courts in Latin America</t>
  </si>
  <si>
    <t>https://ebookcentral.proquest.com/lib/viva-active/detail.action?docID=674630</t>
  </si>
  <si>
    <t>Helmke, Gretchen;Rios-Figueroa, Julio</t>
  </si>
  <si>
    <t>Law</t>
  </si>
  <si>
    <t>Constitutional courts -- Latin America. ; Courts of last resort -- Latin America. ; Judicial process -- Latin America. ; Civil rights -- Latin America.</t>
  </si>
  <si>
    <t>Telenovelas</t>
  </si>
  <si>
    <t>https://ebookcentral.proquest.com/lib/viva-active/detail.action?docID=678337</t>
  </si>
  <si>
    <t>Stavans, Ilan;Stavans, Lewis-Sebring Professor in Latin American and Latino Culture Ilan</t>
  </si>
  <si>
    <t>Television soap operas -- Latin America -- History and criticism. ; Television soap operas -- Social aspects -- Latin America.</t>
  </si>
  <si>
    <t>Grief Therapy with Latinos : Integrating Culture for Clinicians</t>
  </si>
  <si>
    <t>https://ebookcentral.proquest.com/lib/viva-active/detail.action?docID=678650</t>
  </si>
  <si>
    <t>Vazquez, Carmen;Rosa, Dinelia</t>
  </si>
  <si>
    <t>Medicine; Psychology</t>
  </si>
  <si>
    <t>Grief therapy -- United States. ; Hispanic Americans -- Mental health services -- United States. ; Cultural competence -- United States.</t>
  </si>
  <si>
    <t>From Rebellion to Reform in Bolivia : Class Struggle, Indigenous Liberation, and the Politics of Evo Morales</t>
  </si>
  <si>
    <t>https://ebookcentral.proquest.com/lib/viva-active/detail.action?docID=680039</t>
  </si>
  <si>
    <t>Webber, Jeffery</t>
  </si>
  <si>
    <t>Haymarket Books</t>
  </si>
  <si>
    <t>Bolivia - Social policy</t>
  </si>
  <si>
    <t>Made in Mexico : Tradition, Tourism, and Political Ferment in Oaxaca</t>
  </si>
  <si>
    <t>https://ebookcentral.proquest.com/lib/viva-active/detail.action?docID=680051</t>
  </si>
  <si>
    <t>Goertzen, Chris</t>
  </si>
  <si>
    <t>Business/Management; Economics; Tourism/Hospitality</t>
  </si>
  <si>
    <t>Heritage tourism -- Mexico -- Oaxaca (State) ; Handicraft -- Mexico -- Oaxaca (State) ; Festivals -- Mexico -- Oaxaca (State) ; Textile crafts -- Economic aspects -- Mexico -- Case studies. ; Oaxaca (Mexico : State) -- Social conditions.</t>
  </si>
  <si>
    <t>Fighting Their Own Battles : Mexican Americans, African Americans, and the Struggle for Civil Rights in Texas</t>
  </si>
  <si>
    <t>https://ebookcentral.proquest.com/lib/viva-active/detail.action?docID=680720</t>
  </si>
  <si>
    <t>Behnken, Brian D.</t>
  </si>
  <si>
    <t>Mexican Americans -- Civil rights -- Texas -- History -- 20th century. ; African Americans -- Civil rights -- Texas -- History -- 20th century. ; Civil rights movements -- Texas -- History -- 20th century. ; School integration -- Texas -- History -- 20th century. ; African Americans -- Relations with Mexican Americans -- History -- 20th century. ; Texas -- Race relations -- History -- 20th century. ; Texas -- Ethnic relations -- History -- 20th century.</t>
  </si>
  <si>
    <t>The Tejano Diaspora : Mexican Americanism and Ethnic Politics in Texas and Wisconsin</t>
  </si>
  <si>
    <t>https://ebookcentral.proquest.com/lib/viva-active/detail.action?docID=680724</t>
  </si>
  <si>
    <t>Rodriguez, Marc Simon</t>
  </si>
  <si>
    <t>Mexicans -- Texas. ; Mexicans -- Wisconsin. ; Migrant labor -- Texas. ; Migrant labor -- Wisconsin. ; Citizenship -- United States.</t>
  </si>
  <si>
    <t>New World of Gold and Silver : New World of Gold and Silver</t>
  </si>
  <si>
    <t>https://ebookcentral.proquest.com/lib/viva-active/detail.action?docID=682385</t>
  </si>
  <si>
    <t>Tepaske, John J.;Brown, Kendall W.</t>
  </si>
  <si>
    <t>Silver mines and mining - Latin America - History</t>
  </si>
  <si>
    <t>The Tourism Encounter : Fashioning Latin American Nations and Histories</t>
  </si>
  <si>
    <t>https://ebookcentral.proquest.com/lib/viva-active/detail.action?docID=683254</t>
  </si>
  <si>
    <t>Babb, Florence</t>
  </si>
  <si>
    <t>Culture and tourism -- Latin America. ; Tourism -- Political aspects -- Latin America. ; Collective memory -- Latin America. ; Latin America -- Politics and government -- 1980-</t>
  </si>
  <si>
    <t>Brazil's Steel City : Developmentalism, Strategic Power, and Industrial Relations in Volta Redonda, 1941-1964</t>
  </si>
  <si>
    <t>https://ebookcentral.proquest.com/lib/viva-active/detail.action?docID=683260</t>
  </si>
  <si>
    <t>Dinius, Oliver</t>
  </si>
  <si>
    <t>Companhia Siderúrgica Nacional -- History. ; Iron and steel workers -- Brazil -- Volta Redonda -- History -- 20th century. ; Industrial relations -- Brazil -- Volta Redonda -- History -- 20th century.</t>
  </si>
  <si>
    <t>The New Entrepreneurs : How Race, Class, and Gender Shape American Enterprise</t>
  </si>
  <si>
    <t>https://ebookcentral.proquest.com/lib/viva-active/detail.action?docID=683282</t>
  </si>
  <si>
    <t>Valdez, Zulema</t>
  </si>
  <si>
    <t>Hispanic American businesspeople -- Texas -- Houston. ; Hispanic American business enterprises -- Texas -- Houston. ; Hispanic Americans -- Texas -- Houston -- Social conditions. ; Hispanic Americans -- Texas -- Houston -- Economic conditions.</t>
  </si>
  <si>
    <t>The History of Mexico : From Pre-Conquest to Present</t>
  </si>
  <si>
    <t>https://ebookcentral.proquest.com/lib/viva-active/detail.action?docID=684067</t>
  </si>
  <si>
    <t>Russell, Philip</t>
  </si>
  <si>
    <t>Mexico - History</t>
  </si>
  <si>
    <t>National Integration and Contested Autonomy : The Caribbean Coast of Nicaragua</t>
  </si>
  <si>
    <t>https://ebookcentral.proquest.com/lib/viva-active/detail.action?docID=684495</t>
  </si>
  <si>
    <t>Baracco, Luciano</t>
  </si>
  <si>
    <t>Algora Publishing</t>
  </si>
  <si>
    <t>Miskito Indians -- Nicaragua -- Government relations. ; Miskito Indians -- Politics and government. ; Mosquitia (Nicaragua and Honduras) -- Politics and government. ; Atlantic Coast (Nicaragua) -- History -- Autonomy and independence movements.</t>
  </si>
  <si>
    <t>The General's Slow Retreat : Chile after Pinochet</t>
  </si>
  <si>
    <t>https://ebookcentral.proquest.com/lib/viva-active/detail.action?docID=685412</t>
  </si>
  <si>
    <t>Spooner, Mary Helen</t>
  </si>
  <si>
    <t>Democratization - Chile</t>
  </si>
  <si>
    <t>Mexican Voices of the Border Region : Mexicans and Mexican Americans Speak about Living along the Wall</t>
  </si>
  <si>
    <t>https://ebookcentral.proquest.com/lib/viva-active/detail.action?docID=686226</t>
  </si>
  <si>
    <t>Contreras, Oscar F.;del Castillo, Sandra;Velasco Ortiz, Laura</t>
  </si>
  <si>
    <t>Social ecology - Mexican-American Border Region</t>
  </si>
  <si>
    <t>Argentina's Partisan Past : Nationalism and the Politics of History</t>
  </si>
  <si>
    <t>https://ebookcentral.proquest.com/lib/viva-active/detail.action?docID=688324</t>
  </si>
  <si>
    <t>Goebel, Michael</t>
  </si>
  <si>
    <t>Liverpool Latin American Studies LUP Ser.</t>
  </si>
  <si>
    <t>Nationalism -- Argentina. ; Argentina -- Politics and government.</t>
  </si>
  <si>
    <t>The Reinvention of Mexico : National Ideology in a Neoliberal Era</t>
  </si>
  <si>
    <t>https://ebookcentral.proquest.com/lib/viva-active/detail.action?docID=688331</t>
  </si>
  <si>
    <t>O'Toole, Gavin</t>
  </si>
  <si>
    <t>Liverpool Latin American Studies, 12</t>
  </si>
  <si>
    <t>Nationalism -- Mexico -- History -- 20th century. ; Neoliberalism -- Mexico -- History -- 20th century. ; Mexico -- Politics and government -- 1988-2000. ; Latin America -- Politics and government -- 1980-</t>
  </si>
  <si>
    <t>Between Light and Shadow : A Guatemalan Girl's Journey through Adoption</t>
  </si>
  <si>
    <t>https://ebookcentral.proquest.com/lib/viva-active/detail.action?docID=688545</t>
  </si>
  <si>
    <t>Wheeler, Jacob R.;Kreutner, Kevin</t>
  </si>
  <si>
    <t>UNP - Nebraska</t>
  </si>
  <si>
    <t>Intercountry adoption -- Guatemala -- Case studies. ; Intercountry adoption -- United States -- Case studies. ; Adopted children -- Guatemala -- Case studies. ; Adopted children -- United States -- Case studies.</t>
  </si>
  <si>
    <t>The Rise of Evo Morales and the MAS</t>
  </si>
  <si>
    <t>https://ebookcentral.proquest.com/lib/viva-active/detail.action?docID=688555</t>
  </si>
  <si>
    <t>Harten, Sven</t>
  </si>
  <si>
    <t>Morales Ayma, Evo, -- 1959- ; Movimiento al Socialismo (Bolivia) ; Presidents -- Bolivia -- Biography. ; Bolivia -- Politics and government -- 2006- ; Bolivia -- History -- 21st century.</t>
  </si>
  <si>
    <t>Bootstrapping Democracy : Transforming Local Governance and Civil Society in Brazil</t>
  </si>
  <si>
    <t>https://ebookcentral.proquest.com/lib/viva-active/detail.action?docID=688957</t>
  </si>
  <si>
    <t>Baiocchi, Gianpaolo;Heller, Patrick;Silva, Marcelo</t>
  </si>
  <si>
    <t>Municipal government -- Brazil -- Citizen participation. ; Municipal budgets -- Brazil -- Citizen participation. ; Political participation -- Brazil. ; Democracy -- Brazil. ; Civil society -- Brazil.</t>
  </si>
  <si>
    <t>Assessment of the Impacts of Climate Change on Mountain Hydrology : Development of a Methodology Through a Case Study in the Andes of Peru</t>
  </si>
  <si>
    <t>https://ebookcentral.proquest.com/lib/viva-active/detail.action?docID=690502</t>
  </si>
  <si>
    <t>Vergara, Walter;Deeb, Alejandro;Leino, Irene</t>
  </si>
  <si>
    <t>World Bank Studies</t>
  </si>
  <si>
    <t>Science: Geology; Science</t>
  </si>
  <si>
    <t>Language and sex. ; Linguistics.</t>
  </si>
  <si>
    <t>A Cultural History of Cuba During the U. S. Occupation, 1898-1902</t>
  </si>
  <si>
    <t>https://ebookcentral.proquest.com/lib/viva-active/detail.action?docID=690704</t>
  </si>
  <si>
    <t>Iglesias Utset, Marial;Davidson, Russ</t>
  </si>
  <si>
    <t>National characteristics, Cuban. ; Cuba -- History -- 1899-1906. ; Cuba -- Civilization -- American influences.</t>
  </si>
  <si>
    <t>Terms of Inclusion : Black Intellectuals in Twentieth-Century Brazil</t>
  </si>
  <si>
    <t>https://ebookcentral.proquest.com/lib/viva-active/detail.action?docID=690711</t>
  </si>
  <si>
    <t>Alberto, Paulina L.</t>
  </si>
  <si>
    <t>Blacks -- Brazil -- Intellectual life -- 20th century. ; Blacks -- Social conditions -- 20th century. ; Brazil -- Intellectual life -- 20th century. ; Brazil -- Social conditions -- 20th century. ; Brazil -- Race relations -- History -- 20th century.</t>
  </si>
  <si>
    <t>Market Liberalism, Growth, and Economic Development in Latin America</t>
  </si>
  <si>
    <t>https://ebookcentral.proquest.com/lib/viva-active/detail.action?docID=692375</t>
  </si>
  <si>
    <t>Castro, Gerardo Angeles;Perrotini-Hernández, Ignacio;Ríos-Bolivar, Humberto</t>
  </si>
  <si>
    <t>Routledge Studies in Development Economics</t>
  </si>
  <si>
    <t>Economic development - Latin America</t>
  </si>
  <si>
    <t>Geographies of the Haitian Diaspora</t>
  </si>
  <si>
    <t>https://ebookcentral.proquest.com/lib/viva-active/detail.action?docID=692390</t>
  </si>
  <si>
    <t>Jackson, Regine O.</t>
  </si>
  <si>
    <t>Routledge Studies on African and Black Diaspora Ser.</t>
  </si>
  <si>
    <t>Haitians -- Case studies. ; Haiti -- Emigration and immigration.</t>
  </si>
  <si>
    <t>New Destination Dreaming : Immigration, Race, and Legal Status in the Rural American South</t>
  </si>
  <si>
    <t>https://ebookcentral.proquest.com/lib/viva-active/detail.action?docID=692456</t>
  </si>
  <si>
    <t>Marrow, Helen</t>
  </si>
  <si>
    <t>Hispanic Americans -- Southern States -- Social conditions. ; Hispanic Americans -- Legal status, laws, etc. -- Southern States. ; Latin Americans -- Southern States -- Social conditions. ; Latin Americans -- Legal status, laws, etc. -- Southern States. ; Immigrants -- Southern States -- Social conditions. ; Southern States -- Emigration and immigration. ; Southern States -- Rural conditions.</t>
  </si>
  <si>
    <t>The Political Economy of Global Remittances : Gender, Governmentality and Neoliberalism</t>
  </si>
  <si>
    <t>https://ebookcentral.proquest.com/lib/viva-active/detail.action?docID=710111</t>
  </si>
  <si>
    <t>Kunz, Rahel</t>
  </si>
  <si>
    <t>RIPE Series in Global Political Economy Ser.</t>
  </si>
  <si>
    <t>Women in development - Mexico</t>
  </si>
  <si>
    <t>Confederates in the Tropics : Charles Swett's Travelogue</t>
  </si>
  <si>
    <t>https://ebookcentral.proquest.com/lib/viva-active/detail.action?docID=711358</t>
  </si>
  <si>
    <t>Hartman Strom, Sharon;Weaver, Frederick Stirton</t>
  </si>
  <si>
    <t>Swett, Charles, -- 1828-1910 -- Travel -- Belize. ; Swett, Charles, -- 1828-1910 -- Travel -- Honduras. ; Whites -- Southern States -- Attitudes -- History -- 19th century. ; Belize -- Description and travel. ; Honduras -- Description and travel. ; Southern States -- Emigration and immigration -- History -- 19th century.</t>
  </si>
  <si>
    <t>Unraveling the Real : The Fantastic in Spanish-American Ficciones</t>
  </si>
  <si>
    <t>https://ebookcentral.proquest.com/lib/viva-active/detail.action?docID=713748</t>
  </si>
  <si>
    <t>Duncan, Cynthia</t>
  </si>
  <si>
    <t>Literature and society - Latin America - History - 20th century</t>
  </si>
  <si>
    <t>Impact Evaluation of Small and Medium Enterprise Programs in Latin America and the Caribbean</t>
  </si>
  <si>
    <t>https://ebookcentral.proquest.com/lib/viva-active/detail.action?docID=714461</t>
  </si>
  <si>
    <t>Acevedo, Gladys Lopez;Pez-Acevedo, Gladys L;Tan, Hong W</t>
  </si>
  <si>
    <t>Small business -- Latin America. ; Small business -- Caribbean Area. ; Business enterprises -- Latin America. ; Business enterprises -- Caribbean Area.</t>
  </si>
  <si>
    <t>A Scholarly Edition of Andrés de Li's Thesoro de la Passion (1494)</t>
  </si>
  <si>
    <t>https://ebookcentral.proquest.com/lib/viva-active/detail.action?docID=717451</t>
  </si>
  <si>
    <t>Delbrugge, Laura</t>
  </si>
  <si>
    <t>The Medieval and Early Modern Iberian World Ser.</t>
  </si>
  <si>
    <t>Jesus Christ - Passion</t>
  </si>
  <si>
    <t>Oil in the Soil : The Politics of Paying to Preserve the Amazon</t>
  </si>
  <si>
    <t>https://ebookcentral.proquest.com/lib/viva-active/detail.action?docID=718687</t>
  </si>
  <si>
    <t>Martin, Pamela L.</t>
  </si>
  <si>
    <t>Engineering: Environmental; Economics; Engineering; Environmental Studies</t>
  </si>
  <si>
    <t>Parque Nacional Yasuni (Ecuador) - Environmental conditions</t>
  </si>
  <si>
    <t>The Fate of the Forest : Developers, Destroyers, and Defenders of the Amazon, Updated Edition</t>
  </si>
  <si>
    <t>https://ebookcentral.proquest.com/lib/viva-active/detail.action?docID=719231</t>
  </si>
  <si>
    <t>Hecht, Susanna B.;Cockburn, Alexander</t>
  </si>
  <si>
    <t>Agriculture; Economics; Environmental Studies</t>
  </si>
  <si>
    <t>Deforestation -- Amazon River Region. ; Forest conservation -- Amazon River Region. ; Rain forest ecology -- Amazon River Region. ; Amazon River Region.</t>
  </si>
  <si>
    <t>The FARC : The Longest Insurgency</t>
  </si>
  <si>
    <t>https://ebookcentral.proquest.com/lib/viva-active/detail.action?docID=721166</t>
  </si>
  <si>
    <t>Leech, Garry</t>
  </si>
  <si>
    <t>Ideology - Colombia</t>
  </si>
  <si>
    <t>Made of Shores : Judeo-Argentinean Fiction Revisited</t>
  </si>
  <si>
    <t>https://ebookcentral.proquest.com/lib/viva-active/detail.action?docID=725869</t>
  </si>
  <si>
    <t>Ran, Amalia</t>
  </si>
  <si>
    <t>Lehigh University Press</t>
  </si>
  <si>
    <t>Argentine fiction - Jewish authors - History and criticism</t>
  </si>
  <si>
    <t>No Word for Welcome : The Mexican Village Faces the Global Economy</t>
  </si>
  <si>
    <t>https://ebookcentral.proquest.com/lib/viva-active/detail.action?docID=725894</t>
  </si>
  <si>
    <t>Call, Wendy</t>
  </si>
  <si>
    <t>Business/Management; History</t>
  </si>
  <si>
    <t>Economic development projects -- Mexico -- Tehuantepec, Isthmus of. ; Indians of Mexico -- Mexico -- Tehuantepec, Isthmus of. ; Protest movements -- Mexico -- Tehuantepec, Isthmus of. ; Globalization -- Mexico -- Tehuantepec, Isthmus of.</t>
  </si>
  <si>
    <t>Everyday Injustice : Latino Professionals and Racism</t>
  </si>
  <si>
    <t>https://ebookcentral.proquest.com/lib/viva-active/detail.action?docID=726684</t>
  </si>
  <si>
    <t>Chávez, Maria;Feagin, Joe R.;Feagin, Joe R</t>
  </si>
  <si>
    <t>Perspectives on a Multiracial America</t>
  </si>
  <si>
    <t>Hispanic American lawyers</t>
  </si>
  <si>
    <t>Beyond the Borderlands : Migration and Belonging in the United States and Mexico</t>
  </si>
  <si>
    <t>https://ebookcentral.proquest.com/lib/viva-active/detail.action?docID=730040</t>
  </si>
  <si>
    <t>Lattanzi Shutika, Debra</t>
  </si>
  <si>
    <t>Mexican Americans -- Cultural assimilation -- Pennsylvania -- Kennett Square. ; Mexican Americans -- Pennsylvania -- Kennett Square -- Ethnic identity. ; Kennett Square (Pa.) -- Ethnic relations. ; Guanajuato (Mexico : State) -- Emigration and immigration -- Social aspects.</t>
  </si>
  <si>
    <t>Mothers United : An Immigrant Struggle for Socially Just Education</t>
  </si>
  <si>
    <t>https://ebookcentral.proquest.com/lib/viva-active/detail.action?docID=730149</t>
  </si>
  <si>
    <t>Dyrness, Andrea</t>
  </si>
  <si>
    <t>Customer services. ; Customer services -- Technological innovations.</t>
  </si>
  <si>
    <t>Voice and Vote : Decentralization and Participation in Post-Fujimori Peru</t>
  </si>
  <si>
    <t>https://ebookcentral.proquest.com/lib/viva-active/detail.action?docID=730192</t>
  </si>
  <si>
    <t>McNulty, Stephanie</t>
  </si>
  <si>
    <t>Decentralization in government -- Peru. ; Political participation -- Peru. ; Democracy -- Peru. ; Peru -- Politics and government -- 2000-</t>
  </si>
  <si>
    <t>The Last Good Land : Spain in American Literature</t>
  </si>
  <si>
    <t>https://ebookcentral.proquest.com/lib/viva-active/detail.action?docID=735595</t>
  </si>
  <si>
    <t>Suárez-Galbán, Eugenio</t>
  </si>
  <si>
    <t>Costerus New Ser.</t>
  </si>
  <si>
    <t>American literature -- History and criticism. ; American literature -- Spanish influences. ; Authors, American -- Homes and haunts -- Spain. ; Americans -- Spain -- History. ; Spain -- In literature.</t>
  </si>
  <si>
    <t>Empowered Participation or Political Manipulation? : State, Civil Society and Social Funds in Egypt and Bolivia</t>
  </si>
  <si>
    <t>https://ebookcentral.proquest.com/lib/viva-active/detail.action?docID=737696</t>
  </si>
  <si>
    <t>El-Mahdi, Rabab</t>
  </si>
  <si>
    <t>International Studies in Sociology and Social Anthropology Ser.</t>
  </si>
  <si>
    <t>Institution building - Bolivia - Citizen participation</t>
  </si>
  <si>
    <t>Mythohistorical Interventions : The Chicano Movement and Its Legacies</t>
  </si>
  <si>
    <t>https://ebookcentral.proquest.com/lib/viva-active/detail.action?docID=740137</t>
  </si>
  <si>
    <t>Bebout, Lee</t>
  </si>
  <si>
    <t>Critical American Studies</t>
  </si>
  <si>
    <t>Mexican Americans -- Ethnic identity. ; Mexican American women -- Ethnic identity. ; Chicano movement. ; Feminism -- United States. ; Mexican American lesbians -- Social conditions. ; Mexican Americans -- Study and teaching.</t>
  </si>
  <si>
    <t>Becoming Dr. Q : My Journey from Migrant Farm Worker to Brain Surgeon</t>
  </si>
  <si>
    <t>https://ebookcentral.proquest.com/lib/viva-active/detail.action?docID=743996</t>
  </si>
  <si>
    <t>Quiñones-Hinojosa, Alfredo;Quiñones-Hinojosa, Alfredo;Quinones-Hinojosa, Alfredo;Quiñones-Hinojosa, Alfredo;Quiones-Hinojosa, Alfredo</t>
  </si>
  <si>
    <t>Quiñones-Hinojosa, Alfredo. ; Neurosurgeons -- Mexico -- Biography. ; Mexican Americans -- Mexico -- Biography. ; Migrant labor -- Mexico -- Biography.</t>
  </si>
  <si>
    <t>Oil Injustice : Resisting and Conceding a Pipeline in Ecuador</t>
  </si>
  <si>
    <t>https://ebookcentral.proquest.com/lib/viva-active/detail.action?docID=744837</t>
  </si>
  <si>
    <t>Widener, Patricia</t>
  </si>
  <si>
    <t>Another World is Necessary: Human Rights, Environmental Rights, and Popular Democracy</t>
  </si>
  <si>
    <t>Environmental policy - Ecuador - Citizen participation</t>
  </si>
  <si>
    <t>Ecstatic Encounters : Bahian Candomblé and the Quest for the Really Real</t>
  </si>
  <si>
    <t>https://ebookcentral.proquest.com/lib/viva-active/detail.action?docID=752448</t>
  </si>
  <si>
    <t>van de Port, Mattijs;Hansen, Michael W.;de Haan, Ido;Cahen, Joël</t>
  </si>
  <si>
    <t>Amsterdam University Press</t>
  </si>
  <si>
    <t>Candomblé (Religion) -- Brazil -- Bahia (State) ; Bahia (Brazil : State) -- Religious life and customs.</t>
  </si>
  <si>
    <t>Bilingualism in the USA : The case of the Chicano-Latino community</t>
  </si>
  <si>
    <t>https://ebookcentral.proquest.com/lib/viva-active/detail.action?docID=752577</t>
  </si>
  <si>
    <t>Field, Fredric</t>
  </si>
  <si>
    <t>Education, Bilingual -- United States. ; Bilingualism -- United States. ; Hispanic Americans -- Education. ; Mexican Americans -- Education. ; Language acquisition.</t>
  </si>
  <si>
    <t>Imagining Modernity in the Andes</t>
  </si>
  <si>
    <t>https://ebookcentral.proquest.com/lib/viva-active/detail.action?docID=753246</t>
  </si>
  <si>
    <t>Archibald, Priscilla</t>
  </si>
  <si>
    <t>Bucknell University Press</t>
  </si>
  <si>
    <t>National characteristics, Peruvian, in literature</t>
  </si>
  <si>
    <t>Pragmatics of Requests and Apologies : Developmental patterns of Mexican students</t>
  </si>
  <si>
    <t>https://ebookcentral.proquest.com/lib/viva-active/detail.action?docID=765848</t>
  </si>
  <si>
    <t>Flores Salgado, Elizabeth</t>
  </si>
  <si>
    <t>Automobiles, Home-built. ; Electric vehicles -- Design and construction -- Amateurs' manuals.</t>
  </si>
  <si>
    <t>Mediated Business Interactions : Intercultural Communication Between Speakers of Spanish</t>
  </si>
  <si>
    <t>https://ebookcentral.proquest.com/lib/viva-active/detail.action?docID=767128</t>
  </si>
  <si>
    <t>MÃ¡rquez Reiter, Rosina</t>
  </si>
  <si>
    <t>Edinburgh University Press</t>
  </si>
  <si>
    <t>Language/Linguistics; Business/Management</t>
  </si>
  <si>
    <t>Business communication -- Cross-cultural studies. ; Communication.</t>
  </si>
  <si>
    <t>Mexico and the Law of the Sea : Contributions and Compromises</t>
  </si>
  <si>
    <t>https://ebookcentral.proquest.com/lib/viva-active/detail.action?docID=770884</t>
  </si>
  <si>
    <t>Vargas, Jorge A.</t>
  </si>
  <si>
    <t>Publications on Ocean Development Ser.</t>
  </si>
  <si>
    <t>Law of the sea - Mexico</t>
  </si>
  <si>
    <t>Latin American Popular Culture since Independence : An Introduction</t>
  </si>
  <si>
    <t>https://ebookcentral.proquest.com/lib/viva-active/detail.action?docID=772639</t>
  </si>
  <si>
    <t>Beezley, William H.;Curcio-Nagy, Linda A.;Acosta, Sal;Benjamin, Thomas L.;Chasteen, John Charles;Curcio-Nagy, Linda A.;Davis, Darien J.;Derby, Lauren Hutchinson;Esposito, Matthew D.;Fey, Ingrid E.</t>
  </si>
  <si>
    <t>Arts - Latin America</t>
  </si>
  <si>
    <t>Writing as Poaching : Interpellation and Self-Fashioning in Colonial Relaciones de Méritos y Servicios</t>
  </si>
  <si>
    <t>https://ebookcentral.proquest.com/lib/viva-active/detail.action?docID=773402</t>
  </si>
  <si>
    <t>Folger, Robert A.</t>
  </si>
  <si>
    <t>Patronage, Political -- Spain -- History. ; Autobiography -- Political aspects -- Spain -- History. ; Biography as a literary form. ; Spain -- Colonies -- America -- Administration.</t>
  </si>
  <si>
    <t>Red October : Left-Indigenous Struggles in Modern Bolivia</t>
  </si>
  <si>
    <t>https://ebookcentral.proquest.com/lib/viva-active/detail.action?docID=773419</t>
  </si>
  <si>
    <t>Webber, Jeffrey R.</t>
  </si>
  <si>
    <t>Historical Materialism Book Ser.</t>
  </si>
  <si>
    <t>Right and left (Political science) - Bolivia</t>
  </si>
  <si>
    <t>Mexico and its Diaspora in the United States : Policies of Emigration since 1848</t>
  </si>
  <si>
    <t>https://ebookcentral.proquest.com/lib/viva-active/detail.action?docID=775064</t>
  </si>
  <si>
    <t>Délano, Alexandra</t>
  </si>
  <si>
    <t>Foreign workers, Mexican -- United States. ; Mexico -- Emigration and immigration -- Government policy -- History.</t>
  </si>
  <si>
    <t>Triangulations : Narrative Strategies for Navigating Latino Identity</t>
  </si>
  <si>
    <t>https://ebookcentral.proquest.com/lib/viva-active/detail.action?docID=776554</t>
  </si>
  <si>
    <t xml:space="preserve">Vazquez, David J.;Vzquez, David J ;Vaazquez, David J ;Vauzquez, David J </t>
  </si>
  <si>
    <t>Technological innovations -- Management. ; Business enterprises -- Technological innovations. ; Web 2.0. ; Information technology.</t>
  </si>
  <si>
    <t>The Emergence of Latin American Science Fiction</t>
  </si>
  <si>
    <t>https://ebookcentral.proquest.com/lib/viva-active/detail.action?docID=776730</t>
  </si>
  <si>
    <t>Haywood Ferreira, Rachel;Ferreira, Rachel Haywood</t>
  </si>
  <si>
    <t>Wesleyan University Press</t>
  </si>
  <si>
    <t>Early Classics of Science Fiction Ser.</t>
  </si>
  <si>
    <t>Science fiction, Latin American -- History and criticism. ; Science fiction, Argentine -- History and criticism. ; Science fiction, Brazilian -- History and criticism. ; Science fiction, Mexican -- History and criticism.</t>
  </si>
  <si>
    <t>Growing Old in an Older Brazil : Implications of Population Aging on Growth, Poverty, Public Finance and Service Delivery</t>
  </si>
  <si>
    <t>https://ebookcentral.proquest.com/lib/viva-active/detail.action?docID=781368</t>
  </si>
  <si>
    <t>Gragnolati, Michele;Jorgensen, Ole Hagen;Rocha, Romero</t>
  </si>
  <si>
    <t>Older people -- Brazil. ; Old age assistance -- Brazil. ; Older people -- Economic aspects -- Brazil. ; Aging -- Brazil.</t>
  </si>
  <si>
    <t>Creating the Opportunity to Learn : Moving from Research to Practice to Close the Achievement Gap</t>
  </si>
  <si>
    <t>https://ebookcentral.proquest.com/lib/viva-active/detail.action?docID=783963</t>
  </si>
  <si>
    <t>Boykin, A. Wade;Noguera, Pedro</t>
  </si>
  <si>
    <t>Association for Supervision &amp; Curriculum Development</t>
  </si>
  <si>
    <t>African American students. ; Hispanic American students. ; Educational equalization -- United States.</t>
  </si>
  <si>
    <t>Allende's Chile and the Inter-American Cold War</t>
  </si>
  <si>
    <t>https://ebookcentral.proquest.com/lib/viva-active/detail.action?docID=784957</t>
  </si>
  <si>
    <t>Harmer, Tanya</t>
  </si>
  <si>
    <t>The New Cold War History Ser.</t>
  </si>
  <si>
    <t>History, Modern -- 20th century. ; International relations -- History -- 20th century. ; Latin America -- Politics and government -- 1948-1980. ; United States -- Foreign relations -- Latin America. ; Latin America -- Foreign relations -- United States. ; United States -- Foreign relations -- 1945-1989. ; Chile -- Foreign relations -- 1970-1973.</t>
  </si>
  <si>
    <t>Enduring Violence : Ladina Women's Lives in Guatemala</t>
  </si>
  <si>
    <t>https://ebookcentral.proquest.com/lib/viva-active/detail.action?docID=785213</t>
  </si>
  <si>
    <t>Menjívar, Cecilia;Menjívar, Cecilia;Menjívar, Cecilia</t>
  </si>
  <si>
    <t>Ladino (Latin American people) - Violence against - Guatemala</t>
  </si>
  <si>
    <t>Returning to Babel : Jewish Latin American Experiences, Representations, and Identity</t>
  </si>
  <si>
    <t>https://ebookcentral.proquest.com/lib/viva-active/detail.action?docID=793259</t>
  </si>
  <si>
    <t>Ran, Amalia;Cahan, Jean</t>
  </si>
  <si>
    <t>Jewish Latin America Ser.</t>
  </si>
  <si>
    <t>Jews - Cultural assimilation - Latin America</t>
  </si>
  <si>
    <t>Diasporic Generations : Memory, Politics, and the Nation among Cubans in Spain</t>
  </si>
  <si>
    <t>https://ebookcentral.proquest.com/lib/viva-active/detail.action?docID=795477</t>
  </si>
  <si>
    <t>Berg, Mette Louise</t>
  </si>
  <si>
    <t>Berghahn Books, Incorporated</t>
  </si>
  <si>
    <t>New Directions in Anthropology Ser.</t>
  </si>
  <si>
    <t>Cubans -- Spain -- Politics and government. ; Cubans -- Migrations. ; Cubans -- Spain -- Social conditions. ; Immigrants -- Spain -- Social conditions. ; Cubans -- Spain -- Ethnic identity. ; Transnationalism. ; Collective memory -- Spain.</t>
  </si>
  <si>
    <t>Right-Wing Politics in the New Latin America : Reaction and Revolt</t>
  </si>
  <si>
    <t>https://ebookcentral.proquest.com/lib/viva-active/detail.action?docID=795494</t>
  </si>
  <si>
    <t>Dominguez, Francisco;Silva, Patricio;Tsolakis, Andreas;Raby, Diane;Higgingbottom, Andrew;Durand, Francisco;Lievesley, Doctor Geraldine;Ludlam, Doctor Steve;Lima, Marcos Costa;Burton, Guy</t>
  </si>
  <si>
    <t>Latin America -- Politics and government.</t>
  </si>
  <si>
    <t>Visions of Empire in Colonial Spanish American Ekphrastic Writing</t>
  </si>
  <si>
    <t>https://ebookcentral.proquest.com/lib/viva-active/detail.action?docID=795627</t>
  </si>
  <si>
    <t>Mayers, Kathryn M.</t>
  </si>
  <si>
    <t>Spanish American literature - To 1800 - History and criticism</t>
  </si>
  <si>
    <t>Western Sahara : The Refugee Nation</t>
  </si>
  <si>
    <t>https://ebookcentral.proquest.com/lib/viva-active/detail.action?docID=801059</t>
  </si>
  <si>
    <t>San Martín, Pablo</t>
  </si>
  <si>
    <t>Refugees -- Western Sahara. ; Western Sahara.</t>
  </si>
  <si>
    <t>Cultures of Legality : Judicialization and Political Activism in Latin America</t>
  </si>
  <si>
    <t>https://ebookcentral.proquest.com/lib/viva-active/detail.action?docID=802964</t>
  </si>
  <si>
    <t>Couso, Javier;Huneeus, Alexandra;Sieder, Rachel</t>
  </si>
  <si>
    <t>Cambridge Studies in Law and Society</t>
  </si>
  <si>
    <t>Law -- Latin America -- Philosophy. ; Justice, Administration of -- Latin America. ; Courts -- Latin America.</t>
  </si>
  <si>
    <t>The Caudillo of the Andes : Andrés de Santa Cruz</t>
  </si>
  <si>
    <t>https://ebookcentral.proquest.com/lib/viva-active/detail.action?docID=803194</t>
  </si>
  <si>
    <t>Sobrevilla Perea, Natalia</t>
  </si>
  <si>
    <t>New Approaches to the Americas</t>
  </si>
  <si>
    <t>Santa Cruz, Andrés, -- 1792-1865. ; Caudillos -- Bolivia -- Biography. ; Marshals -- Bolivia -- Biography. ; Presidents -- Bolivia -- Biography. ; Presidents -- Peru -- Biography. ; Peru-Bolivian Confederation -- History. ; South America -- History -- Wars of Independence, 1806-1830.</t>
  </si>
  <si>
    <t>Cleansing Honor with Blood : Masculinity, Violence, and Power in the Backlands of Northeast Brazil, 1845-1889</t>
  </si>
  <si>
    <t>https://ebookcentral.proquest.com/lib/viva-active/detail.action?docID=808421</t>
  </si>
  <si>
    <t>Santos, Martha</t>
  </si>
  <si>
    <t>Masculinity -- Brazil -- Ceará (State) -- History -- 19th century. ; Men -- Brazil -- Ceará (State) -- History -- 19th century. ; Machismo -- Brazil -- Ceará (State) -- History -- 19th century. ; Violence -- Brazil -- Ceará (State) -- History -- 19th century. ; Power (Social sciences) -- Brazil -- Ceará (State) -- History -- 19th century. ; Honor -- Brazil -- Ceará (State) -- History -- 19th century. ; Sex role -- Brazil -- Ceará (State) -- History -- 19th century.</t>
  </si>
  <si>
    <t>The Hierarchies of Slavery in Santos, Brazil, 1822-1888</t>
  </si>
  <si>
    <t>https://ebookcentral.proquest.com/lib/viva-active/detail.action?docID=811344</t>
  </si>
  <si>
    <t>Read, Ian</t>
  </si>
  <si>
    <t>Slaves -- Brazil -- Santos (São Paulo) -- Social conditions -- 19th century. ; Slaveholders -- Brazil -- Santos (São Paulo) -- Social conditions -- 19th century. ; Slavery -- Social aspects -- Brazil -- Santos (São Paulo) -- History -- 19th century. ; Social status -- Brazil -- Santos (São Paulo) -- History -- 19th century. ; Santos (São Paulo, Brazil) -- Social conditions -- 19th century.</t>
  </si>
  <si>
    <t>Latino Catholicism : Transformation in America's Largest Church</t>
  </si>
  <si>
    <t>https://ebookcentral.proquest.com/lib/viva-active/detail.action?docID=815524</t>
  </si>
  <si>
    <t>Matovina, Timothy</t>
  </si>
  <si>
    <t>Catholic Church -- United States. ; Hispanic American Catholics -- Religious life.</t>
  </si>
  <si>
    <t>Building Colonial Cities of God : Mendicant Orders and Urban Culture in New Spain</t>
  </si>
  <si>
    <t>https://ebookcentral.proquest.com/lib/viva-active/detail.action?docID=815776</t>
  </si>
  <si>
    <t>Melvin, Karen</t>
  </si>
  <si>
    <t>Catholic Church -- Mexico -- History -- 16th century. ; Catholic Church -- Mexico -- History -- 17th century. ; Friars -- Mexico -- History -- 16th century. ; Friars -- Mexico -- History -- 17th century. ; Colonial cities -- Mexico -- History -- 16th century. ; Colonial cities -- Mexico -- History -- 17th century. ; Mexico -- Church history -- 16th century.</t>
  </si>
  <si>
    <t>Surviving HIV/AIDS in the Inner City : How Resourceful Latinas Beat the Odds</t>
  </si>
  <si>
    <t>https://ebookcentral.proquest.com/lib/viva-active/detail.action?docID=816470</t>
  </si>
  <si>
    <t>Chase, Sabrina</t>
  </si>
  <si>
    <t>Studies in Medical Anthropology Ser.</t>
  </si>
  <si>
    <t>AIDS (Disease) in women - New Jersey - Newark</t>
  </si>
  <si>
    <t>Dance and the Hollywood Latina : Race, Sex, and Stardom</t>
  </si>
  <si>
    <t>https://ebookcentral.proquest.com/lib/viva-active/detail.action?docID=816484</t>
  </si>
  <si>
    <t>Ovalle, Priscilla Pena</t>
  </si>
  <si>
    <t>Latinidad: Transnational Cultures in the United States Ser.</t>
  </si>
  <si>
    <t>Sex i motio pictures</t>
  </si>
  <si>
    <t>Buenas Noches, American Culture : Latina/o Aesthetics of Night</t>
  </si>
  <si>
    <t>https://ebookcentral.proquest.com/lib/viva-active/detail.action?docID=816841</t>
  </si>
  <si>
    <t>DeGuzmán, María;DeGuzmán, María</t>
  </si>
  <si>
    <t>South American literature - History and criticism</t>
  </si>
  <si>
    <t>Brazil Is the New America : How Brazil Offers Upward Mobility in a Collapsing World</t>
  </si>
  <si>
    <t>https://ebookcentral.proquest.com/lib/viva-active/detail.action?docID=817960</t>
  </si>
  <si>
    <t>Davidson, James Dale</t>
  </si>
  <si>
    <t>Economic development -- Brazil. ; Economic development -- United States. ; Economic forecasting -- Brazil. ; Economic forecasting -- United States. ; Brazil -- Economic conditions -- 21st century. ; United States -- Economic conditions -- 21st century. ; Brazil -- Social conditions -- 21st century.</t>
  </si>
  <si>
    <t>The Poetics of Otherness in Antonio Machado's 'proverbios Y Cantares'</t>
  </si>
  <si>
    <t>https://ebookcentral.proquest.com/lib/viva-active/detail.action?docID=819778</t>
  </si>
  <si>
    <t>Fernández-Medina, Nicolás</t>
  </si>
  <si>
    <t>Machado, Antonio, -- 1875-1939 -- Criticism and interpretation. ; Other (Philosophy) in literature. ; Difference (Psychology) in literature.</t>
  </si>
  <si>
    <t>Scandinavian Crime Fiction</t>
  </si>
  <si>
    <t>https://ebookcentral.proquest.com/lib/viva-active/detail.action?docID=819780</t>
  </si>
  <si>
    <t>Arvas, Paula;Nestingen, Andrew</t>
  </si>
  <si>
    <t>European Crime Fictions</t>
  </si>
  <si>
    <t>Detective and mystery stories, Scandinavian.</t>
  </si>
  <si>
    <t>Sex and Society in Early Twentieth Century Spain : Hildegart Rodriguez and the World League for Sexual Reform</t>
  </si>
  <si>
    <t>https://ebookcentral.proquest.com/lib/viva-active/detail.action?docID=819829</t>
  </si>
  <si>
    <t>Sinclair, Alison</t>
  </si>
  <si>
    <t>Hildegart, -- 1914-1933. ; World League for Sexual Reform. ; Sex -- Social aspects -- Spain -- History -- 20th century.</t>
  </si>
  <si>
    <t>Do Our Children Have a Chance? : A Human Opportunity Report for Latin America and the Caribbean</t>
  </si>
  <si>
    <t>https://ebookcentral.proquest.com/lib/viva-active/detail.action?docID=819935</t>
  </si>
  <si>
    <t xml:space="preserve">Molinas Vega, José R.;Paes de Barros, Ricardo;Saavedra Chanduvi, Jaime;Giugale, Marcelo M. ;World Bank, </t>
  </si>
  <si>
    <t>Children -- Latin America -- Social conditions. ; Children -- Latin America -- Economic conditions. ; Children -- Caribbean Area -- Social conditions. ; Children -- Caribbean Area -- Economic conditions.</t>
  </si>
  <si>
    <t>Writing Mexican History</t>
  </si>
  <si>
    <t>https://ebookcentral.proquest.com/lib/viva-active/detail.action?docID=820295</t>
  </si>
  <si>
    <t>Van Young, Eric</t>
  </si>
  <si>
    <t>Mexico -- Historiography.</t>
  </si>
  <si>
    <t>Herbert Eugene Bolton : Historian of the American Borderlands</t>
  </si>
  <si>
    <t>https://ebookcentral.proquest.com/lib/viva-active/detail.action?docID=822703</t>
  </si>
  <si>
    <t>Hurtado, Albert L.</t>
  </si>
  <si>
    <t>Bolton, Herbert Eugene, -- 1870-1953. ; Historians -- United States -- Biography. ; Mexican-American Border Region -- Historiography. ; United States -- Territorial expansion -- Historiography.</t>
  </si>
  <si>
    <t>Financial Development in Latin America and the Caribbean : The Road Ahead</t>
  </si>
  <si>
    <t>https://ebookcentral.proquest.com/lib/viva-active/detail.action?docID=825157</t>
  </si>
  <si>
    <t>de la Torre, Augusto;Ize, Alain;Schmukler, Sergio L.</t>
  </si>
  <si>
    <t>Latin America and Caribbean Studies</t>
  </si>
  <si>
    <t>Economic development -- Latin America. ; Economic development -- Caribbean Area.</t>
  </si>
  <si>
    <t>Modern Latin American Literature : A Very Short Introduction</t>
  </si>
  <si>
    <t>https://ebookcentral.proquest.com/lib/viva-active/detail.action?docID=829468</t>
  </si>
  <si>
    <t>Echevarria, Roberto Gonzalez</t>
  </si>
  <si>
    <t>Very Short Introductions</t>
  </si>
  <si>
    <t>Hellenism. ; Philosophy, Ancient. ; Philosophy and religion -- Greece. ; Philosophy and religion -- History.</t>
  </si>
  <si>
    <t>Leadership from the Margins : Women and Civil Society Organizations in Argentina, Chile, and el Salvador</t>
  </si>
  <si>
    <t>https://ebookcentral.proquest.com/lib/viva-active/detail.action?docID=832038</t>
  </si>
  <si>
    <t xml:space="preserve">Cosgrove, Serena;Cosgrove, Professor Serena </t>
  </si>
  <si>
    <t>Civil society - Latin America</t>
  </si>
  <si>
    <t>Latinos in the New Millennium : An Almanac of Opinion, Behavior, and Policy Preferences</t>
  </si>
  <si>
    <t>https://ebookcentral.proquest.com/lib/viva-active/detail.action?docID=833502</t>
  </si>
  <si>
    <t xml:space="preserve">Fraga, Luis R.;Garcia, John A.;Hero, Rodney E.;Jones-Correa, Michael ;Martinez-Ebers, Valerie ;Segura, Gary M. </t>
  </si>
  <si>
    <t>Hispanic Americans -- Politics and government -- 21st century. ; Hispanic Americans -- Ethnic identity. ; Hispanic Americans -- Attitudes.</t>
  </si>
  <si>
    <t>The Revolt of the Whip</t>
  </si>
  <si>
    <t>https://ebookcentral.proquest.com/lib/viva-active/detail.action?docID=835601</t>
  </si>
  <si>
    <t>Love, Joseph</t>
  </si>
  <si>
    <t>Brazil. -- Marinha de Guerra -- History. ; Sailors, Black -- Brazil -- History. ; Naval discipline -- Brazil -- History. ; Race discrimination -- Brazil -- History. ; Brazil -- History -- Naval Revolt, 1910.</t>
  </si>
  <si>
    <t>Enemy in the Blood : Malaria, Environment, and Development in Argentina</t>
  </si>
  <si>
    <t>https://ebookcentral.proquest.com/lib/viva-active/detail.action?docID=835619</t>
  </si>
  <si>
    <t>Carter, Eric D.</t>
  </si>
  <si>
    <t>Public health - Argentina - History</t>
  </si>
  <si>
    <t>The Aborigines of Puerto Rico and Neighboring Islands</t>
  </si>
  <si>
    <t>https://ebookcentral.proquest.com/lib/viva-active/detail.action?docID=835666</t>
  </si>
  <si>
    <t>Fewkes, Jesse Walter;Curet, L. Antonio</t>
  </si>
  <si>
    <t>Indians of the West Indies - Puerto Rico</t>
  </si>
  <si>
    <t>To Save Her Life : Disappearance, Deliverance, and the United States in Guatemala</t>
  </si>
  <si>
    <t>https://ebookcentral.proquest.com/lib/viva-active/detail.action?docID=837156</t>
  </si>
  <si>
    <t>Saxon, Dan</t>
  </si>
  <si>
    <t>Guatemala - Foreign relations - United States</t>
  </si>
  <si>
    <t>Dignity and Defiance : Stories from Bolivia's Challenge to Globalization</t>
  </si>
  <si>
    <t>https://ebookcentral.proquest.com/lib/viva-active/detail.action?docID=837180</t>
  </si>
  <si>
    <t>Shultz, James;Draper, Melissa;Shultz, James ;Draper, Melissa</t>
  </si>
  <si>
    <t>Globalization -- Economic aspects -- Bolivia. ; Investments, Foreign -- Bolivia. ; Bolivia -- Foreign economic relations.</t>
  </si>
  <si>
    <t>A Nation of Emigrants : How Mexico Manages Its Migration</t>
  </si>
  <si>
    <t>https://ebookcentral.proquest.com/lib/viva-active/detail.action?docID=837327</t>
  </si>
  <si>
    <t>FitzGerald, David</t>
  </si>
  <si>
    <t>Return migration -- Mexico. ; Mexicans -- United States. ; Mexico -- Emigration and immigration -- Government policy. ; Mexico -- Emigration and immigration -- Religious aspects -- Catholic Church.</t>
  </si>
  <si>
    <t>Dementia Care with Black and Latino Families : A Social Work Problem-Solving Approach</t>
  </si>
  <si>
    <t>https://ebookcentral.proquest.com/lib/viva-active/detail.action?docID=837881</t>
  </si>
  <si>
    <t xml:space="preserve">Sanders, Delia González;Fortinsky, Richard;Lcsw, Delia Gonzalez Sanders Phd </t>
  </si>
  <si>
    <t>Caregivers -- Family relationships. ; Dementia -- Patients -- Care -- Social aspects. ; Older African Americans -- Care. ; Older Hispanic Americans -- Care.</t>
  </si>
  <si>
    <t>Voice of the Leopard : African Secret Societies and Cuba</t>
  </si>
  <si>
    <t>https://ebookcentral.proquest.com/lib/viva-active/detail.action?docID=840360</t>
  </si>
  <si>
    <t>Miller, Ivor L.;Bassey, Bassey E.</t>
  </si>
  <si>
    <t>Caribbean Studies Series</t>
  </si>
  <si>
    <t>Sociedad AbakuÃÂ¡ (Cuba);Secret societies -- Cuba.;Blacks -- Cuba -- Social life and customs.</t>
  </si>
  <si>
    <t>South of the Crisis : A Latin American Perspective on the Late Capitalist World</t>
  </si>
  <si>
    <t>https://ebookcentral.proquest.com/lib/viva-active/detail.action?docID=840501</t>
  </si>
  <si>
    <t>Corradi, Juan E.</t>
  </si>
  <si>
    <t>Anthem Press</t>
  </si>
  <si>
    <t>Anthem Studies in Development and Globalization</t>
  </si>
  <si>
    <t>Short stories, Canadian. ; Love stories.</t>
  </si>
  <si>
    <t>Breeding Latin American Tigers : Operational Principles for Rehabilitating Industrial Policies in the Region</t>
  </si>
  <si>
    <t>https://ebookcentral.proquest.com/lib/viva-active/detail.action?docID=841922</t>
  </si>
  <si>
    <t xml:space="preserve">Devlin, Robert;Moguillansky, Graciela;Moguillansky, Graciela </t>
  </si>
  <si>
    <t>Industrial policy -- Latin America. ; Industrial policy -- Developing countries. ; Economic development -- Latin America. ; Latin America -- Economic policy.</t>
  </si>
  <si>
    <t>Social Movements and Leftist Governments in Latin America : Confrontation or Co-optation?</t>
  </si>
  <si>
    <t>https://ebookcentral.proquest.com/lib/viva-active/detail.action?docID=841928</t>
  </si>
  <si>
    <t>Prevost, Gary;Campos, Carlos Oliva;Vanden, Professor Harry E</t>
  </si>
  <si>
    <t>Social movements -- Latin America.</t>
  </si>
  <si>
    <t>¡Darwinistas! : The Construction of Evolutionary Thought in Nineteenth Century Argentina</t>
  </si>
  <si>
    <t>https://ebookcentral.proquest.com/lib/viva-active/detail.action?docID=842216</t>
  </si>
  <si>
    <t>Levine, Alex;Novoa, Adriana</t>
  </si>
  <si>
    <t>Scientific and Learned Cultures and Their Institutions Ser.</t>
  </si>
  <si>
    <t>Science: Biology/Natural History; Science</t>
  </si>
  <si>
    <t>Science - Argentina - History - 19th century</t>
  </si>
  <si>
    <t>Making the Chinese Mexican : Global Migration, Localism, and Exclusion in the U. S. -Mexico Borderlands</t>
  </si>
  <si>
    <t>https://ebookcentral.proquest.com/lib/viva-active/detail.action?docID=842222</t>
  </si>
  <si>
    <t>Delgado, Grace</t>
  </si>
  <si>
    <t>Chinese -- Mexican-American Border Region -- Ethnic identity -- History -- 20th century. ; Immigrants -- Cultural assimilation -- Mexican-American Border Region -- History -- 20th century. ; Mexican-American Border Region -- Race relations -- Political aspects -- History -- 20th century. ; Mexico -- Emigration and immigration -- Government policy -- History -- 20th century. ; United States -- Emigration and immigration -- Government policy -- History -- 20th century.</t>
  </si>
  <si>
    <t>Domestica : Immigrant Workers Cleaning and Caring in the Shadows of Affluence, with a New Preface</t>
  </si>
  <si>
    <t>https://ebookcentral.proquest.com/lib/viva-active/detail.action?docID=844026</t>
  </si>
  <si>
    <t>Hondagneu-Sotelo, Pierrette</t>
  </si>
  <si>
    <t>Hispanic American women -- Employment -- California -- Los Angeles. ; Nannies -- California -- Los Angeles. ; Upper class women -- California -- Los Angeles. ; Women foreign workers -- California -- Los Angeles. ; Women household employees -- California -- Los Angeles. ; Women immigrants -- California -- Los Angeles -- Economic conditions. ; Working class women -- California -- Los Angeles.</t>
  </si>
  <si>
    <t>Everyday Revolutionaries : Gender, Violence, and Disillusionment in Postwar el Salvador</t>
  </si>
  <si>
    <t>https://ebookcentral.proquest.com/lib/viva-active/detail.action?docID=847580</t>
  </si>
  <si>
    <t>Silber, Irina Carlota</t>
  </si>
  <si>
    <t>Genocide, Political Violence, Human Rights Ser.</t>
  </si>
  <si>
    <t>Revolutionaries - El Salvador</t>
  </si>
  <si>
    <t>José Vasconcelos : The Prophet of Race</t>
  </si>
  <si>
    <t>https://ebookcentral.proquest.com/lib/viva-active/detail.action?docID=849488</t>
  </si>
  <si>
    <t>Stavans, Ilan</t>
  </si>
  <si>
    <t>Latin America - Race relations</t>
  </si>
  <si>
    <t>El Cinco de Mayo : An American Tradition</t>
  </si>
  <si>
    <t>https://ebookcentral.proquest.com/lib/viva-active/detail.action?docID=850696</t>
  </si>
  <si>
    <t>Hayes-Bautista, David;Hayes-Bautista, David E.;Hayes-Bautista, David</t>
  </si>
  <si>
    <t>Cinco de Mayo, Battle of, Puebla, Mexico, 1862- - Press coverage - United States</t>
  </si>
  <si>
    <t>Patient Citizens, Immigrant Mothers : Mexican Women, Public Prenatal Care, and the Birth Weight Paradox</t>
  </si>
  <si>
    <t>https://ebookcentral.proquest.com/lib/viva-active/detail.action?docID=858959</t>
  </si>
  <si>
    <t>Galvez, Alyshia</t>
  </si>
  <si>
    <t>Critical Issues in Health and Medicine Ser.</t>
  </si>
  <si>
    <t>Prenatal care - United States</t>
  </si>
  <si>
    <t>Afro-Cuban Identity in Post-Revolutionary Novel and Film : Inclusion, Loss, and Cultural Resistance</t>
  </si>
  <si>
    <t>https://ebookcentral.proquest.com/lib/viva-active/detail.action?docID=858967</t>
  </si>
  <si>
    <t>Easley Morris, Andrea</t>
  </si>
  <si>
    <t>Identity in literature</t>
  </si>
  <si>
    <t>Pablo Tac, Indigenous Scholar : Writing on Luiseño Language and Colonial History, C. 1840</t>
  </si>
  <si>
    <t>https://ebookcentral.proquest.com/lib/viva-active/detail.action?docID=860287</t>
  </si>
  <si>
    <t>Haas, Lisbeth;Tac, Pablo;Haas, Lisbeth</t>
  </si>
  <si>
    <t>Tac, Pablo, -- 1822-1841. ; Luiseño Indians -- California -- Biography. ; Indian scholars -- California -- Biography. ; Luiseño Indians -- History. ; Luiseño language -- Grammar. ; Luiseño language -- Dictionaries.</t>
  </si>
  <si>
    <t>Darkroom : A Memoir in Black and White</t>
  </si>
  <si>
    <t>https://ebookcentral.proquest.com/lib/viva-active/detail.action?docID=860292</t>
  </si>
  <si>
    <t>Weaver, Lila Quintero</t>
  </si>
  <si>
    <t>Argentine Americans - Alabama</t>
  </si>
  <si>
    <t>The Making of Chicana/o Studies : In the Trenches of Academe</t>
  </si>
  <si>
    <t>https://ebookcentral.proquest.com/lib/viva-active/detail.action?docID=860790</t>
  </si>
  <si>
    <t>Acuna, Rodolfo F.;Acuña, Rodolfo F.</t>
  </si>
  <si>
    <t>Mexican Americans - Study and teaching (Higher) - History</t>
  </si>
  <si>
    <t>Return to Centro Historico : A Mexican Jew Looks for His Roots</t>
  </si>
  <si>
    <t>https://ebookcentral.proquest.com/lib/viva-active/detail.action?docID=861450</t>
  </si>
  <si>
    <t>Jews - Mexico - Mexico City</t>
  </si>
  <si>
    <t>The Handbook of Hispanic Linguistics</t>
  </si>
  <si>
    <t>https://ebookcentral.proquest.com/lib/viva-active/detail.action?docID=861859</t>
  </si>
  <si>
    <t>Olarrea, Antxon;Hualde, José Ignacio;O'Rourke, Erin;O'Rourke, Erin</t>
  </si>
  <si>
    <t>Blackwell Handbooks in Linguistics Ser.</t>
  </si>
  <si>
    <t>Spanish language -- Handbooks, manuals, etc. ; Spanish philology.</t>
  </si>
  <si>
    <t>Embodying Difference : Scripting Social Images of the Female Body in Latina Theatre</t>
  </si>
  <si>
    <t>https://ebookcentral.proquest.com/lib/viva-active/detail.action?docID=862659</t>
  </si>
  <si>
    <t>Saborío, Linda</t>
  </si>
  <si>
    <t>Fairleigh Dickinson University Press</t>
  </si>
  <si>
    <t>Latin Americans in literature</t>
  </si>
  <si>
    <t>Darwinism in Argentina : Major Texts (1845-1909)</t>
  </si>
  <si>
    <t>https://ebookcentral.proquest.com/lib/viva-active/detail.action?docID=862661</t>
  </si>
  <si>
    <t>Gómez, Leila</t>
  </si>
  <si>
    <t>Science; Science: Biology/Natural History</t>
  </si>
  <si>
    <t>Evolution (Biology) - Social aspects - Argentina - History - 19th century</t>
  </si>
  <si>
    <t>Health Issues in Latino Males : A Social and Structural Approach</t>
  </si>
  <si>
    <t>https://ebookcentral.proquest.com/lib/viva-active/detail.action?docID=864879</t>
  </si>
  <si>
    <t>Borrell, Luisa N.;Vega, William;Williams, David;ArTvalo, Sandra;Amaro, Hortensia;Ayala, George;Rumbaut, RubTn;Rodrfguez, Clara;Carter-Pokras, Olivia;Fischer, Alexander</t>
  </si>
  <si>
    <t>Men's Health - ethnology - United States</t>
  </si>
  <si>
    <t>The Young Lords : A Reader</t>
  </si>
  <si>
    <t>https://ebookcentral.proquest.com/lib/viva-active/detail.action?docID=865382</t>
  </si>
  <si>
    <t>Enck-Wanzer, Darrel;Morales, Iris;Oliver-Velez, Denise</t>
  </si>
  <si>
    <t>New York University Press</t>
  </si>
  <si>
    <t>Political activists - New York (State) - New York</t>
  </si>
  <si>
    <t>Culture Works : Space, Value, and Mobility Across the Neoliberal Americas</t>
  </si>
  <si>
    <t>https://ebookcentral.proquest.com/lib/viva-active/detail.action?docID=865597</t>
  </si>
  <si>
    <t>Dávila, Arlene M.;Daavila, Arlene M</t>
  </si>
  <si>
    <t>Latin Americans - Social conditions</t>
  </si>
  <si>
    <t>Musical ImagiNation : U. S-Colombian Identity and the Latin Music Boom</t>
  </si>
  <si>
    <t>https://ebookcentral.proquest.com/lib/viva-active/detail.action?docID=865881</t>
  </si>
  <si>
    <t>Cepeda, Mari´a Elena</t>
  </si>
  <si>
    <t>Music trade - Florida - Miami</t>
  </si>
  <si>
    <t>Run for the Border : Vice and Virtue in U. S. -Mexico Border Crossings</t>
  </si>
  <si>
    <t>https://ebookcentral.proquest.com/lib/viva-active/detail.action?docID=866061</t>
  </si>
  <si>
    <t>Bender, Steven W.</t>
  </si>
  <si>
    <t>Citizenship and Migration in the Americas Ser.</t>
  </si>
  <si>
    <t>Political Science; Law</t>
  </si>
  <si>
    <t>Fugitives from justice - Mexico</t>
  </si>
  <si>
    <t>Intimate Migrations : Gender, Family, and Illegality among Transnational Mexicans</t>
  </si>
  <si>
    <t>https://ebookcentral.proquest.com/lib/viva-active/detail.action?docID=866068</t>
  </si>
  <si>
    <t>Boehm, Deborah A.</t>
  </si>
  <si>
    <t>Immigrant families - United States</t>
  </si>
  <si>
    <t>State-Building and Tax Regimes in Central America</t>
  </si>
  <si>
    <t>https://ebookcentral.proquest.com/lib/viva-active/detail.action?docID=866897</t>
  </si>
  <si>
    <t>Schneider, Aaron</t>
  </si>
  <si>
    <t>Tax administration and procedure -- Central America. ; Nation-building -- Central America. ; Central America -- Politics and government -- 1979-</t>
  </si>
  <si>
    <t>Sexual Revolutions in Cuba : Passion, Politics, and Memory</t>
  </si>
  <si>
    <t>https://ebookcentral.proquest.com/lib/viva-active/detail.action?docID=867050</t>
  </si>
  <si>
    <t>Hamilton, Carrie;Dore, Elizabeth</t>
  </si>
  <si>
    <t>Sex -- Cuba -- History. ; Cubans -- Sexual behavior -- History -- Interviews. ; Homosexuality -- Cuba -- History -- Interviews. ; Oral history -- Cuba. ; Cuba -- Social conditions -- Interviews. ; Cuba -- History -- Revolution, 1959.</t>
  </si>
  <si>
    <t>Airport Economics in Latin America and the Caribbean : Benchmarking, Regulation, and Pricing</t>
  </si>
  <si>
    <t>https://ebookcentral.proquest.com/lib/viva-active/detail.action?docID=868310</t>
  </si>
  <si>
    <t>Serebrisky, Tomás</t>
  </si>
  <si>
    <t>Airports -- Economic aspects -- Latin America. ; Airports -- Economic aspects -- Caribbean Area. ; Aeronautics, Commercial -- Latin America. ; Aeronautics, Commercial -- Caribbean Area.</t>
  </si>
  <si>
    <t>Greening the Wind : Environmental and Social Considerations for Wind Power Development</t>
  </si>
  <si>
    <t>https://ebookcentral.proquest.com/lib/viva-active/detail.action?docID=868313</t>
  </si>
  <si>
    <t>Ledec, George C.;Rapp, Kennan W.;Aiello, Robert G.</t>
  </si>
  <si>
    <t>Engineering; Engineering: Mechanical; Environmental Studies; Economics</t>
  </si>
  <si>
    <t>Wind power -- Latin America. ; Wind power -- Environmental aspects -- Latin America. ; Wind power -- Latin America -- Case studies.</t>
  </si>
  <si>
    <t>Skills for the 21st Century in Latin America and the Caribbean</t>
  </si>
  <si>
    <t>https://ebookcentral.proquest.com/lib/viva-active/detail.action?docID=868322</t>
  </si>
  <si>
    <t>Aedo, Cristian;Walker, Ian</t>
  </si>
  <si>
    <t>Education; Business/Management; Economics</t>
  </si>
  <si>
    <t>Education -- Economic aspects -- Latin America. ; Education -- Economic aspects -- Caribbean Area. ; Wages -- Latin America. ; Wages -- Caribbean Area.</t>
  </si>
  <si>
    <t>Revolutionizing Romance : Interracial Couples in Contemporary Cuba</t>
  </si>
  <si>
    <t>https://ebookcentral.proquest.com/lib/viva-active/detail.action?docID=868533</t>
  </si>
  <si>
    <t>Fernandez, Nadine T.</t>
  </si>
  <si>
    <t>Racially mixed people - Cuba</t>
  </si>
  <si>
    <t>Bodies in Crisis : Culture, Violence, and Women's Resistance in Neoliberal Argentina</t>
  </si>
  <si>
    <t>https://ebookcentral.proquest.com/lib/viva-active/detail.action?docID=868535</t>
  </si>
  <si>
    <t>Sutton, Barbara</t>
  </si>
  <si>
    <t>Women -- Political activity -- Argentina. ; Social movements -- Argentina. ; Community development -- Argentina.</t>
  </si>
  <si>
    <t>Healing the Body Politic : El Salvador's Popular Struggle for Health Rights from Civil War to Neoliberal Peace</t>
  </si>
  <si>
    <t>https://ebookcentral.proquest.com/lib/viva-active/detail.action?docID=868536</t>
  </si>
  <si>
    <t>Smith-Nonini, Sandy;Marshall, Mac</t>
  </si>
  <si>
    <t>Health Policy - El Salvador</t>
  </si>
  <si>
    <t>Digital Dilemmas : The State, the Individual, and Digital Media in Cuba</t>
  </si>
  <si>
    <t>https://ebookcentral.proquest.com/lib/viva-active/detail.action?docID=870070</t>
  </si>
  <si>
    <t xml:space="preserve">Venegas, Cristina;Petro, Patrice </t>
  </si>
  <si>
    <t>Mass media -- Political aspects -- Cuba. ; Digital media -- Political aspects -- Cuba. ; Internet -- Political aspects -- Cuba. ; Mass media policy -- Cuba. ; Social change -- Cuba. ; Mass media -- Social aspects -- Cuba. ; Digital media -- Social aspects -- Cuba.</t>
  </si>
  <si>
    <t>Latina/o Sexualities : Probing Powers, Passions, Practices, and Policies</t>
  </si>
  <si>
    <t>https://ebookcentral.proquest.com/lib/viva-active/detail.action?docID=870917</t>
  </si>
  <si>
    <t>Asencio, Marysol;Almaguer, Tomás;Munoz-Laboy, Miguel;Acosta, Katie;Mitchell, Pablo;Arreola, Sonya;Romo, Laura;Nadeem, Erum;Kouyoumdjian, Claudia;Gerena, Mariana</t>
  </si>
  <si>
    <t>Hispanics - Sexual behavior</t>
  </si>
  <si>
    <t>Migration and Remittances from Mexico : Trends, Impacts, and New Challenges</t>
  </si>
  <si>
    <t>https://ebookcentral.proquest.com/lib/viva-active/detail.action?docID=871299</t>
  </si>
  <si>
    <t>Cuecuecha, Alfredo;Pederzini, Carla;Cuecuecha, Alfredo;Pederzini, Carla</t>
  </si>
  <si>
    <t>Migrant remittances - Mexico</t>
  </si>
  <si>
    <t>La economía de la Iniciativa Yasuní-ITT : Cambio climático como si importara la termodinámica</t>
  </si>
  <si>
    <t>https://ebookcentral.proquest.com/lib/viva-active/detail.action?docID=875541</t>
  </si>
  <si>
    <t>Vogel, Joseph Henry;Chichilnisky, Graciela;Jiménez-Williams, Iván Humberto</t>
  </si>
  <si>
    <t>Anthem Environmental Studies</t>
  </si>
  <si>
    <t>Economics; Environmental Studies</t>
  </si>
  <si>
    <t>Climatic changes - Economic aspects</t>
  </si>
  <si>
    <t>From Right to Reality : Incentives, Labor Markets, and the ChallEnglishe of Universal Social Protection in Latin America and the Caribbean</t>
  </si>
  <si>
    <t>https://ebookcentral.proquest.com/lib/viva-active/detail.action?docID=876737</t>
  </si>
  <si>
    <t xml:space="preserve">Ribe, Helena;Robalino, David;Walker, Ian;World Bank, </t>
  </si>
  <si>
    <t>Social security -- Latin America. ; Economic assistance, Domestic -- Latin America.</t>
  </si>
  <si>
    <t>Police Reform in Mexico : Informal Politics and the Challenge of Institutional Change</t>
  </si>
  <si>
    <t>https://ebookcentral.proquest.com/lib/viva-active/detail.action?docID=879035</t>
  </si>
  <si>
    <t>Sabet, Daniel</t>
  </si>
  <si>
    <t>Police administration -- Mexico. ; Police -- Mexico. ; Police professionalization -- Mexico.</t>
  </si>
  <si>
    <t>Peace Came in the Form of a Woman : Indians and Spaniards in the Texas Borderlands</t>
  </si>
  <si>
    <t>https://ebookcentral.proquest.com/lib/viva-active/detail.action?docID=880038</t>
  </si>
  <si>
    <t>Barr, Juliana</t>
  </si>
  <si>
    <t>Indians of North America -- Texas -- History -- 18th century. ; Indian captivities -- Texas -- History -- 18th century. ; Spaniards -- Texas -- History -- 18th century. ; Missions, Spanish -- Texas -- History -- 18th century. ; Women and peace -- Texas -- History -- 18th century. ; Women -- Texas -- Social conditions -- 18th century. ; Diplomacy -- Texas -- History -- 18th century.</t>
  </si>
  <si>
    <t>Governing Spirits : Religion, Miracles, and Spectacles in Cuba and Puerto Rico, 1898-1956</t>
  </si>
  <si>
    <t>https://ebookcentral.proquest.com/lib/viva-active/detail.action?docID=880384</t>
  </si>
  <si>
    <t>Román, Reinaldo L.;Román, Reinaldo L.</t>
  </si>
  <si>
    <t>Puerto Rico - Religious life and customs</t>
  </si>
  <si>
    <t>The Rise of Ethnic Politics in Latin America</t>
  </si>
  <si>
    <t>https://ebookcentral.proquest.com/lib/viva-active/detail.action?docID=880683</t>
  </si>
  <si>
    <t>Madrid, Raúl L.</t>
  </si>
  <si>
    <t>Indians of Central America -- Politics and government. ; Indians of South America -- Politics and government. ; Political parties -- Central America. ; Political parties -- South America. ; Central America -- Ethnic relations -- Political aspects. ; South America -- Ethnic relations -- Political aspects.</t>
  </si>
  <si>
    <t>Barcelona and Madrid : Social Networks of the Avant-Garde</t>
  </si>
  <si>
    <t>https://ebookcentral.proquest.com/lib/viva-active/detail.action?docID=881525</t>
  </si>
  <si>
    <t xml:space="preserve">Ascunce Arenas, Aránzazu;Ascunce, Aranzazu ;Arenas, Araanzazu Ascunce ;Ascunce Arenas, Ar </t>
  </si>
  <si>
    <t>Madrid (Spain) - Relations - Spain - Barcelona</t>
  </si>
  <si>
    <t>Violence, Coercion, and State-Making in Twentieth-Century Mexico : The Other Half of the Centaur</t>
  </si>
  <si>
    <t>https://ebookcentral.proquest.com/lib/viva-active/detail.action?docID=881951</t>
  </si>
  <si>
    <t>Pansters, Wil G.</t>
  </si>
  <si>
    <t>Violence -- Political aspects -- Mexico -- History -- 20th century. ; Mexico -- Politics and government -- 20th century.</t>
  </si>
  <si>
    <t>We Are Now the True Spaniards : Sovereignty, Revolution, Independence, and the Emergence of the Federal Republic of Mexico, 1808-1824</t>
  </si>
  <si>
    <t>https://ebookcentral.proquest.com/lib/viva-active/detail.action?docID=887238</t>
  </si>
  <si>
    <t>Rodriguez O., Jaime E.</t>
  </si>
  <si>
    <t>Mexico -- History. ; Mexico -- History -- Wars of Independence, 1810-1821. ; Mexico -- Politics and government -- 1810-1821. ; Mexico -- Politics and government -- 1821-1861.</t>
  </si>
  <si>
    <t>Homecoming Queers : Desire and Difference in Chicana Latina Cultural Production</t>
  </si>
  <si>
    <t>https://ebookcentral.proquest.com/lib/viva-active/detail.action?docID=887965</t>
  </si>
  <si>
    <t>Danielson, Marivel T.</t>
  </si>
  <si>
    <t>Literature; Fine Arts</t>
  </si>
  <si>
    <t>Hispanic American lesbians - Intellectual life</t>
  </si>
  <si>
    <t>Race Migrations : Latinos and the Cultural Transformation of Race</t>
  </si>
  <si>
    <t>https://ebookcentral.proquest.com/lib/viva-active/detail.action?docID=888559</t>
  </si>
  <si>
    <t>Roth, Wendy</t>
  </si>
  <si>
    <t>Hispanic Americans -- Race identity. ; Hispanic Americans -- Social conditions. ; Dominican Americans -- Race identity. ; Puerto Ricans -- Race identity -- United States. ; Race -- Social aspects -- United States. ; United States -- Emigration and immigration -- Social aspects. ; Dominican Republic -- Emigration and immigration -- Social aspects.</t>
  </si>
  <si>
    <t>Brazilian Telenovelas and the Myth of Racial Democracy</t>
  </si>
  <si>
    <t>https://ebookcentral.proquest.com/lib/viva-active/detail.action?docID=889020</t>
  </si>
  <si>
    <t>Joyce, Samantha Nogueira</t>
  </si>
  <si>
    <t>Critical Studies in Television</t>
  </si>
  <si>
    <t>Television soap operas - Social aspects - Brazil</t>
  </si>
  <si>
    <t>Descanso for My Father : Fragments of a Life</t>
  </si>
  <si>
    <t>https://ebookcentral.proquest.com/lib/viva-active/detail.action?docID=889671</t>
  </si>
  <si>
    <t>Fletcher, Harrison Candelaria</t>
  </si>
  <si>
    <t>UNP - Bison Original</t>
  </si>
  <si>
    <t>American Lives</t>
  </si>
  <si>
    <t>Fletcher, Harrison Candelaria, -- 1962- ; Mexican Americans -- New Mexico -- Biography. ; Authors, American -- 21st century -- Biography. ; Fathers and sons -- Biography.</t>
  </si>
  <si>
    <t>Side Dishes : Latina American Women, Sex, and Cultural Production</t>
  </si>
  <si>
    <t>https://ebookcentral.proquest.com/lib/viva-active/detail.action?docID=892356</t>
  </si>
  <si>
    <t xml:space="preserve">Fitch, Melissa A.;Petro, Patrice </t>
  </si>
  <si>
    <t>Women -- Latin America. ; Sex -- Latin America. ; Pornography -- Latin America. ; Feminism -- Latin America. ; Postmodernism (Literature) -- Latin America.</t>
  </si>
  <si>
    <t>Day of the Dead in the USA : The Migration and Transformation of a Cultural Phenomenon</t>
  </si>
  <si>
    <t>https://ebookcentral.proquest.com/lib/viva-active/detail.action?docID=892360</t>
  </si>
  <si>
    <t>Marchi, Regina M.;Marchi, Regina</t>
  </si>
  <si>
    <t>All Souls' Day -- United States. ; United States -- Social life and customs. ; United States -- Religious life and customs.</t>
  </si>
  <si>
    <t>Latino Small Businesses and the American Dream : Community Social Work Practice and Economic and Social Development</t>
  </si>
  <si>
    <t>https://ebookcentral.proquest.com/lib/viva-active/detail.action?docID=895152</t>
  </si>
  <si>
    <t>Delgado, Melvin</t>
  </si>
  <si>
    <t>Columbia University Press</t>
  </si>
  <si>
    <t>Hispanic American business enterprises. ; Small business -- United States. ; Social service -- United States.</t>
  </si>
  <si>
    <t>Becoming Mexipino : Multiethnic Identities and Communities in San Diego</t>
  </si>
  <si>
    <t>https://ebookcentral.proquest.com/lib/viva-active/detail.action?docID=895466</t>
  </si>
  <si>
    <t>Guevarra, Rudy P., Jr.;Guevarra, Jr., Rudy P.</t>
  </si>
  <si>
    <t>Community life - California - San Diego</t>
  </si>
  <si>
    <t>Latin America in the 21st Century : Nations, Regionalism, Globalization</t>
  </si>
  <si>
    <t>https://ebookcentral.proquest.com/lib/viva-active/detail.action?docID=896261</t>
  </si>
  <si>
    <t>Gardini, Gian Luca</t>
  </si>
  <si>
    <t>Regionalism -- Latin America. ; Globalization -- Latin America. ; Latin America.</t>
  </si>
  <si>
    <t>Life in Debt : Times of Care and Violence in Neoliberal Chile</t>
  </si>
  <si>
    <t>https://ebookcentral.proquest.com/lib/viva-active/detail.action?docID=896312</t>
  </si>
  <si>
    <t>Han, Clara</t>
  </si>
  <si>
    <t>Neoliberalism - Social aspects - Chile</t>
  </si>
  <si>
    <t>Collecting Mexico : Museums, Monuments, and the Creation of National Identity</t>
  </si>
  <si>
    <t>https://ebookcentral.proquest.com/lib/viva-active/detail.action?docID=902556</t>
  </si>
  <si>
    <t>Garrigan, Shelley E.</t>
  </si>
  <si>
    <t>Kalman filtering. ; Control theory.</t>
  </si>
  <si>
    <t>The Rise of Spanish-Language Filmmaking : Out from Hollywood's Shadow, 1929-1939</t>
  </si>
  <si>
    <t>https://ebookcentral.proquest.com/lib/viva-active/detail.action?docID=902767</t>
  </si>
  <si>
    <t>Jarvinen, Lisa;Jarvinen, Prof Lisa</t>
  </si>
  <si>
    <t>Motion pictures, Spanish - United States - History - 20th century</t>
  </si>
  <si>
    <t>Social Forces and States : Poverty and Distributional Outcomes in South Korea, Chile, and Mexico</t>
  </si>
  <si>
    <t>https://ebookcentral.proquest.com/lib/viva-active/detail.action?docID=902777</t>
  </si>
  <si>
    <t>Teichman, Judith</t>
  </si>
  <si>
    <t>Poverty -- Case studies. ; Equality -- Case studies. ; Korea (South) -- Social conditions. ; Korea (South) -- Economic conditions. ; Chile -- Social conditions. ; Chile -- Economic conditions. ; Mexico -- Social conditions.</t>
  </si>
  <si>
    <t>God's Laboratory : Assisted Reproduction in the Andes</t>
  </si>
  <si>
    <t>https://ebookcentral.proquest.com/lib/viva-active/detail.action?docID=903398</t>
  </si>
  <si>
    <t>Roberts, Elizabeth F. S.</t>
  </si>
  <si>
    <t>Medical anthropology - Ecuador</t>
  </si>
  <si>
    <t>Comparative Perspectives on Afro-Latin America</t>
  </si>
  <si>
    <t>https://ebookcentral.proquest.com/lib/viva-active/detail.action?docID=906675</t>
  </si>
  <si>
    <t>Dixon, Kwame;Burdick, John</t>
  </si>
  <si>
    <t>University Press of Florida</t>
  </si>
  <si>
    <t>Blacks - Latin America</t>
  </si>
  <si>
    <t>The Cambridge Introduction to Gabriel García Márquez</t>
  </si>
  <si>
    <t>https://ebookcentral.proquest.com/lib/viva-active/detail.action?docID=907126</t>
  </si>
  <si>
    <t>Martin, Gerald</t>
  </si>
  <si>
    <t>Cambridge Introductions to Literature</t>
  </si>
  <si>
    <t>García Márquez, Gabriel, -- 1928- ; Latin American literature -- History and criticism.</t>
  </si>
  <si>
    <t>Juggling Identities : Identity and Authenticity Among the Crypto-Jews</t>
  </si>
  <si>
    <t>https://ebookcentral.proquest.com/lib/viva-active/detail.action?docID=908581</t>
  </si>
  <si>
    <t>Kunin, Seth</t>
  </si>
  <si>
    <t>Crypto-Jews - New Mexico - History</t>
  </si>
  <si>
    <t>Latino Pentecostal Identity : Evangelical Faith, Self, and Society</t>
  </si>
  <si>
    <t>https://ebookcentral.proquest.com/lib/viva-active/detail.action?docID=909336</t>
  </si>
  <si>
    <t>Walsh, Arlene Sánchez</t>
  </si>
  <si>
    <t>Religion and American Culture</t>
  </si>
  <si>
    <t>Hispanic American Pentecostals.</t>
  </si>
  <si>
    <t>Latinas in the Workplace : An Emerging Leadership Force</t>
  </si>
  <si>
    <t>https://ebookcentral.proquest.com/lib/viva-active/detail.action?docID=911874</t>
  </si>
  <si>
    <t>Wolverton, Mimi;Zaki, Salwa A.;López-Mulnix, Esther Elena;López-Mulnix, Esther Elena</t>
  </si>
  <si>
    <t>Stylus Publishing, LLC</t>
  </si>
  <si>
    <t>Journeys to Leadership Ser.</t>
  </si>
  <si>
    <t>Hispanic American women in the professions -- Case studies. ; Leadership in women -- United States -- Case studies.</t>
  </si>
  <si>
    <t>Rebellion Now and Forever : Mayas, Hispanics, and Caste War Violence in Yucatan, 1800-1880</t>
  </si>
  <si>
    <t>https://ebookcentral.proquest.com/lib/viva-active/detail.action?docID=912105</t>
  </si>
  <si>
    <t>Rugeley, Terry</t>
  </si>
  <si>
    <t>Mayas -- Wars. ; Mayas -- Yucatán Peninsula -- History -- 19th century. ; Ethnic conflict -- Yucatán Peninsula -- History -- 19th century. ; Yucatán (Mexico : State) -- History -- Caste War, 1847-1855.</t>
  </si>
  <si>
    <t>Development and Semi-periphery : Post-neoliberal Trajectories in South America and Central Eastern Europe</t>
  </si>
  <si>
    <t>https://ebookcentral.proquest.com/lib/viva-active/detail.action?docID=912582</t>
  </si>
  <si>
    <t>Boschi, Renato;Santana, Carlos Henrique</t>
  </si>
  <si>
    <t>Anthem Other Canon Economics</t>
  </si>
  <si>
    <t>Dickinson, Fred, -- 1888-1954 -- Diaries. ; Country life -- Ontario -- Rideau Canal Region -- History -- 20th century. ; Rideau Canal Region (Ont.) -- Biography. ; Rideau Canal Region (Ont.) -- Social life and customs -- 20th century.</t>
  </si>
  <si>
    <t>Bones, Clones, and Biomes : The History and Geography of Recent Neotropical Mammals</t>
  </si>
  <si>
    <t>https://ebookcentral.proquest.com/lib/viva-active/detail.action?docID=914968</t>
  </si>
  <si>
    <t>Patterson, Bruce D.;Costa, Leonora P.</t>
  </si>
  <si>
    <t>Science; Science: Zoology</t>
  </si>
  <si>
    <t>Mammals -- Latin America -- History. ; Mammals -- Latin America -- Geographical distribution. ; Biogeography -- Latin America. ; Paleobiogeography -- Latin America.</t>
  </si>
  <si>
    <t>The Struggle in Black and Brown : African American and Mexican American Relations during the Civil Rights Era</t>
  </si>
  <si>
    <t>https://ebookcentral.proquest.com/lib/viva-active/detail.action?docID=915036</t>
  </si>
  <si>
    <t>Behnken, Brian D;Behnken, Brian D</t>
  </si>
  <si>
    <t>UNP - Nebraska Paperback</t>
  </si>
  <si>
    <t>Justice and Social Inquiry</t>
  </si>
  <si>
    <t>African Americans -- Civil rights -- History -- 20th century. ; Mexican Americans -- Civil rights -- United States -- History -- 20th century. ; Civil rights movements -- United States -- History -- 20th century. ; African Americans -- Relations with Mexican Americans -- History -- 20th century. ; United States -- Race relations -- History -- 20th century. ; United States -- Ethnic relations -- History -- 20th century.</t>
  </si>
  <si>
    <t>On the Edge of Purgatory : An Archaeology of Place in Hispanic Colorado</t>
  </si>
  <si>
    <t>https://ebookcentral.proquest.com/lib/viva-active/detail.action?docID=915043</t>
  </si>
  <si>
    <t>Clark, Bonnie J.</t>
  </si>
  <si>
    <t>Historical Archaeology of the American West</t>
  </si>
  <si>
    <t>Geography/Travel; Social Science; History</t>
  </si>
  <si>
    <t>Hispanic Americans -- Colorado -- Antiquities. ; Hispanic Americans -- Colorado -- History. ; Hispanic Americans -- Colorado -- Social life and customs. ; Archaeology and history -- Colorado. ; Ethnoarchaeology -- Colorado. ; Colorado -- Antiquities. ; Colorado -- History, Local.</t>
  </si>
  <si>
    <t>Urban Residence : Housing and Social Transformations in Globalizing Ecuador</t>
  </si>
  <si>
    <t>https://ebookcentral.proquest.com/lib/viva-active/detail.action?docID=915502</t>
  </si>
  <si>
    <t>Klaufus, Christien;Mitzman, Lee K.</t>
  </si>
  <si>
    <t>CEDLA Latin America Studies</t>
  </si>
  <si>
    <t>City planning -- Ecuador -- Citizen participation. ; Dwellings -- Ecuador -- Design and construction -- Citizen participation. ; Housing development -- Ecuador -- Citizen participation. ; Urban anthropology -- Ecuador.</t>
  </si>
  <si>
    <t>Gender and the Negotiation of Daily Life in Mexico, 1750-1856</t>
  </si>
  <si>
    <t>https://ebookcentral.proquest.com/lib/viva-active/detail.action?docID=915525</t>
  </si>
  <si>
    <t>Lipsett-Rivera, Sonya</t>
  </si>
  <si>
    <t>Sex role -- Mexico. ; Human body -- Social aspects -- Mexico. ; Mexico -- Civilization -- 18th century. ; Mexico -- Civilization -- 19th century. ; Mexico -- Social life and customs -- 18th century. ; Mexico -- Social life and customs -- 19th century. ; Mexico -- Social conditions -- 18th century.</t>
  </si>
  <si>
    <t>Malcontents, Rebels, and Pronunciados : The Politics of Insurrection in Nineteenth-Century Mexico</t>
  </si>
  <si>
    <t>https://ebookcentral.proquest.com/lib/viva-active/detail.action?docID=915526</t>
  </si>
  <si>
    <t>Political culture -- Mexico -- History -- 19th century. ; Political violence -- Mexico -- History -- 19th century. ; Revolutions -- Mexico -- History -- 19th century. ; Revolutionaries -- Mexico -- History -- 19th century. ; Government, Resistance to -- Mexico -- History -- 19th century. ; Legitimacy of governments -- Mexico -- History -- 19th century. ; Mexico -- Politics and government -- 1821-1861.</t>
  </si>
  <si>
    <t>Foodscapes, Foodfields, and Identities in Yucatán</t>
  </si>
  <si>
    <t>https://ebookcentral.proquest.com/lib/viva-active/detail.action?docID=915719</t>
  </si>
  <si>
    <t>Ayora-Diaz, Steffan Igor</t>
  </si>
  <si>
    <t>Food habits - Mexico - Yucatan ( State)</t>
  </si>
  <si>
    <t>Divided by Borders : Mexican Migrants and Their Children</t>
  </si>
  <si>
    <t>https://ebookcentral.proquest.com/lib/viva-active/detail.action?docID=922925</t>
  </si>
  <si>
    <t>Dreby, Joanna</t>
  </si>
  <si>
    <t>Mexicans -- Family relationships -- United States -- Case studies. ; Emigrant remittances -- Mexico. ; Households -- Mexico. ; Marital conflict -- Case studies. ; Parent and child -- Case studies. ; Mexico -- Emigration and immigration.</t>
  </si>
  <si>
    <t>Tambú : Curaçao's African-Caribbean Ritual and the Politics of Memory</t>
  </si>
  <si>
    <t>https://ebookcentral.proquest.com/lib/viva-active/detail.action?docID=923146</t>
  </si>
  <si>
    <t xml:space="preserve">de Jong, Nanette;De Jong, Nanette De </t>
  </si>
  <si>
    <t>Ethnomusicology Multimedia Ser.</t>
  </si>
  <si>
    <t>Blacks - Curaocao - Rites and ceremonies</t>
  </si>
  <si>
    <t>Kosher Feijoada and Other Paradoxes of Jewish Life in São Paulo</t>
  </si>
  <si>
    <t>https://ebookcentral.proquest.com/lib/viva-active/detail.action?docID=923328</t>
  </si>
  <si>
    <t>Klein, Misha</t>
  </si>
  <si>
    <t>New World Diasporas Ser.</t>
  </si>
  <si>
    <t>Saao Paulo (Brazil) - Ethnic relations</t>
  </si>
  <si>
    <t>Chiricahua and Janos : Communities of Violence in the Southwestern Borderlands, 1680-1880</t>
  </si>
  <si>
    <t>https://ebookcentral.proquest.com/lib/viva-active/detail.action?docID=928347</t>
  </si>
  <si>
    <t>Blyth, Lance R.</t>
  </si>
  <si>
    <t>Borderlands and Transcultural Studies</t>
  </si>
  <si>
    <t>Chiricahua Indians -- Mexico -- Janos -- History. ; Chiricahua Indians -- Mexico -- Janos -- Government relations. ; Chiricahua Indians -- Violence against -- Mexico -- Janos. ; Violence -- Social aspects -- Mexico -- Janos. ; Janos (Mexico) -- History. ; Janos (Mexico) -- Race relations. ; Janos (Mexico) -- Politics and government.</t>
  </si>
  <si>
    <t>Tourism in Northeastern Argentina : The Intersection of Human and Indigenous Rights with the Environment</t>
  </si>
  <si>
    <t>https://ebookcentral.proquest.com/lib/viva-active/detail.action?docID=928513</t>
  </si>
  <si>
    <t>Seymoure, Penny;Roberg, Jeffrey L.</t>
  </si>
  <si>
    <t>Tourism/Hospitality; Economics</t>
  </si>
  <si>
    <t>Indigenous peoples - Argentina - Civil rights</t>
  </si>
  <si>
    <t>Disenchanting Citizenship : Mexican Migrants and the Boundaries of Belonging</t>
  </si>
  <si>
    <t>https://ebookcentral.proquest.com/lib/viva-active/detail.action?docID=932002</t>
  </si>
  <si>
    <t xml:space="preserve">Plascencia, Luis F. B.;Plascencia, Prof Luis </t>
  </si>
  <si>
    <t>United States - Ethnic relations</t>
  </si>
  <si>
    <t>Drug War Mexico : Politics, Neoliberalism and Violence in the New Narcoeconomy</t>
  </si>
  <si>
    <t>https://ebookcentral.proquest.com/lib/viva-active/detail.action?docID=933048</t>
  </si>
  <si>
    <t>Watt, Peter;Zepeda, Roberto</t>
  </si>
  <si>
    <t>Geography/Travel; Social Science</t>
  </si>
  <si>
    <t>Drug control -- Mexico. ; Drugs -- Political aspects -- Mexico. ; Drugs -- Economic aspects -- Mexico.</t>
  </si>
  <si>
    <t>On Strike and on Film : Mexican American Families and Blacklisted Filmmakers in Cold War America</t>
  </si>
  <si>
    <t>https://ebookcentral.proquest.com/lib/viva-active/detail.action?docID=934355</t>
  </si>
  <si>
    <t>Baker, Ellen R.</t>
  </si>
  <si>
    <t>The University of North Carolina Press</t>
  </si>
  <si>
    <t>Salt of the earth (Motion picture) ; Empire Zinc Company Strike, Hanover, N.M., 1950-1951. ; Strikes and lockouts -- Zinc mining -- New Mexico. ; Mexican American labor union members -- New Mexico.</t>
  </si>
  <si>
    <t>On the Borders of Love and Power : Families and Kinship in the Intercultural American Southwest</t>
  </si>
  <si>
    <t>https://ebookcentral.proquest.com/lib/viva-active/detail.action?docID=934483</t>
  </si>
  <si>
    <t>Adams, David Wallace;DeLuzio, Crista</t>
  </si>
  <si>
    <t>Indians of North America -- Kinship -- West (U.S.) ; Indians of North America -- Cultural assimilation -- West (U.S.) ; Hispanic Americans -- Kinship -- West (U.S.) ; Hispanic Americans -- Cultural assimilation -- West (U.S.) ; Frontier and pioneer life -- West (U.S.) -- History. ; Families -- West (U.S.) -- History. ; Kinship -- West (U.S.) -- History.</t>
  </si>
  <si>
    <t>Resources for Reform : Oil and Neoliberalism in Argentina</t>
  </si>
  <si>
    <t>https://ebookcentral.proquest.com/lib/viva-active/detail.action?docID=934486</t>
  </si>
  <si>
    <t>Shever, Elana</t>
  </si>
  <si>
    <t>Citizenship -- Argentina. ; Kinship -- Political aspects -- Argentina. ; Neoliberalism -- Argentina. ; Petroleum industry and trade -- Political aspects -- Argentina. ; Petroleum industry and trade -- Social aspects -- Argentina. ; Protest movements -- Argentina.</t>
  </si>
  <si>
    <t>Popular Movements in Autocracies : Religion, Repression, and Indigenous Collective Action in Mexico</t>
  </si>
  <si>
    <t>https://ebookcentral.proquest.com/lib/viva-active/detail.action?docID=944693</t>
  </si>
  <si>
    <t>Trejo, Guillermo</t>
  </si>
  <si>
    <t>Cambridge Studies in Comparative Politics</t>
  </si>
  <si>
    <t>Land reform -- Mexico. ; Social movements -- Mexico. ; Indians of Mexico. ; Democratization -- Mexico.</t>
  </si>
  <si>
    <t>Does What You Export Matter? : In Search of Empirical Guidance for Industrial Policies</t>
  </si>
  <si>
    <t>https://ebookcentral.proquest.com/lib/viva-active/detail.action?docID=950619</t>
  </si>
  <si>
    <t xml:space="preserve">Lederman, Daniel;Maloney, William;Maloney, William </t>
  </si>
  <si>
    <t>Agriculture and Rural Development Series</t>
  </si>
  <si>
    <t>Bioinformatics -- Congresses. ; Biomathematics -- Congresses. ; Computational biology -- Congresses.</t>
  </si>
  <si>
    <t>Mitigating Vulnerability to High and Volatile Oil Prices : Power Sector Experience in Latin America and the Caribbean</t>
  </si>
  <si>
    <t>https://ebookcentral.proquest.com/lib/viva-active/detail.action?docID=950620</t>
  </si>
  <si>
    <t xml:space="preserve">Yépez-García, Rigoberto Ariel;Dana, Julie;Dana, Julie </t>
  </si>
  <si>
    <t>Petroleum products -- Prices -- Latin America. ; Petroleum products -- Prices -- Caribbean Area. ; Energy consumption -- Latin America. ; Energy consumption -- Caribbean Area. ; Energy policy -- Latin America. ; Energy policy -- Caribbean Area.</t>
  </si>
  <si>
    <t>Migration in Contemporary Hispanic Cinema</t>
  </si>
  <si>
    <t>https://ebookcentral.proquest.com/lib/viva-active/detail.action?docID=954697</t>
  </si>
  <si>
    <t>Deveny, Thomas G.</t>
  </si>
  <si>
    <t>Emigration and immigration in motion pictures</t>
  </si>
  <si>
    <t>Promoting Silicon Valleys in Latin America : Lessons from Costa Rica</t>
  </si>
  <si>
    <t>https://ebookcentral.proquest.com/lib/viva-active/detail.action?docID=957016</t>
  </si>
  <si>
    <t>Ciravegna, Luciano</t>
  </si>
  <si>
    <t>Regions and Cities</t>
  </si>
  <si>
    <t>Industrial promotion - Latin America</t>
  </si>
  <si>
    <t>Beyond the Global Crisis : Structural Adjustments and Regional Integration in Europe and Latin America</t>
  </si>
  <si>
    <t>https://ebookcentral.proquest.com/lib/viva-active/detail.action?docID=957180</t>
  </si>
  <si>
    <t>Punzo, Lionello F.;Feijo, Carmem Aparecida;Puchet Anyul, Martín</t>
  </si>
  <si>
    <t>European Union - Latin America</t>
  </si>
  <si>
    <t>Developing Writing Skills in Spanish</t>
  </si>
  <si>
    <t>https://ebookcentral.proquest.com/lib/viva-active/detail.action?docID=957200</t>
  </si>
  <si>
    <t>Muñoz-Basols, Javier;Pérez Sinusía, Yolanda;David, Marianne</t>
  </si>
  <si>
    <t>Developing Writing Skills Ser.</t>
  </si>
  <si>
    <t>Spanish language - Composition and exercises</t>
  </si>
  <si>
    <t>The Role of Courts in Transitional Justice : Voices from Latin America and Spain</t>
  </si>
  <si>
    <t>https://ebookcentral.proquest.com/lib/viva-active/detail.action?docID=957450</t>
  </si>
  <si>
    <t>Almqvist, Jessica;Esposito, Carlos</t>
  </si>
  <si>
    <t>Transitional justice - Latin America</t>
  </si>
  <si>
    <t>Sino-Latin American Economic Relations</t>
  </si>
  <si>
    <t>https://ebookcentral.proquest.com/lib/viva-active/detail.action?docID=957471</t>
  </si>
  <si>
    <t>Fung, K. C.;Garcia Herrero, Alicia</t>
  </si>
  <si>
    <t>Routledge Contemporary China Ser.</t>
  </si>
  <si>
    <t>China - Commerce - Latin America</t>
  </si>
  <si>
    <t>The Memory of the Argentina Disappearances : The Political History of Nunca Mas</t>
  </si>
  <si>
    <t>https://ebookcentral.proquest.com/lib/viva-active/detail.action?docID=957966</t>
  </si>
  <si>
    <t>Crenzel, Emilio</t>
  </si>
  <si>
    <t>Argentina. -- Comisión Nacional sobre la Desaparición de Personas. -- Nunca más. ; Disappeared persons -- Argentina. ; Terrorism -- Argentina. ; Political persecution -- Argentina.</t>
  </si>
  <si>
    <t>Critical Perspectives on Afro-Latin American Literature</t>
  </si>
  <si>
    <t>https://ebookcentral.proquest.com/lib/viva-active/detail.action?docID=958700</t>
  </si>
  <si>
    <t>Tillis, Antonio D.</t>
  </si>
  <si>
    <t>Latin American literature - African influences</t>
  </si>
  <si>
    <t>Pluralism in the Middle Ages : Hybrid Identities, Conversion, and Mixed Marriages in Medieval Iberia</t>
  </si>
  <si>
    <t>https://ebookcentral.proquest.com/lib/viva-active/detail.action?docID=958821</t>
  </si>
  <si>
    <t>Johnsrud Zorgati, Ragnhild</t>
  </si>
  <si>
    <t>Routledge Research in Medieval Studies</t>
  </si>
  <si>
    <t>Interfaith marriage - Spain - History - To 1500</t>
  </si>
  <si>
    <t>From Colony to Nationhood in Mexico : Laying the Foundations, 1560–1840</t>
  </si>
  <si>
    <t>https://ebookcentral.proquest.com/lib/viva-active/detail.action?docID=977154</t>
  </si>
  <si>
    <t>McEnroe, Sean F.</t>
  </si>
  <si>
    <t>Tlaxcalan Indians -- Colonization -- Mexico, North. ; Nuevo León (Mexico : State) -- History. ; Nuevo León (Mexico : State) -- Ethnic relations -- History. ; Mexico -- History -- Spanish colony, 1540-1810. ; Mexico -- History -- Wars of Independence, 1810-1821. ; Mexico -- History -- 1821-1861.</t>
  </si>
  <si>
    <t>The Fear of French Negroes : Transcolonial Collaboration in the Revolutionary Americas</t>
  </si>
  <si>
    <t>https://ebookcentral.proquest.com/lib/viva-active/detail.action?docID=977265</t>
  </si>
  <si>
    <t>Johnson, Sara E.</t>
  </si>
  <si>
    <t>FlashPoints Ser.</t>
  </si>
  <si>
    <t>Blacks -- Caribbean Area -- History -- 19th century. ; Blacks -- Gulf Coast (U.S.) -- History -- 19th century. ; Blacks -- Race identity -- Caribbean Area -- History -- 19th century. ; Blacks -- Race identity -- Gulf Coast (U.S.) -- History -- 19th century. ; Blacks -- Migrations -- History -- 19th century. ; Haiti -- History -- Revolution, 1791-1804 -- Influence.</t>
  </si>
  <si>
    <t>Small City on a Big Couch : A Psychoanalysis of a Provincial Mexican City</t>
  </si>
  <si>
    <t>https://ebookcentral.proquest.com/lib/viva-active/detail.action?docID=978044</t>
  </si>
  <si>
    <t>Rodríguez, Karen</t>
  </si>
  <si>
    <t>Contemporary Psychoanalytic Studies</t>
  </si>
  <si>
    <t>Psychoanalysis. ; Guanajuato (Mexico) -- Psychological aspects.</t>
  </si>
  <si>
    <t>Barrios to Burbs : The Making of the Mexican American Middle Class</t>
  </si>
  <si>
    <t>https://ebookcentral.proquest.com/lib/viva-active/detail.action?docID=978478</t>
  </si>
  <si>
    <t>Vallejo, Jody;Vallejo, Jody</t>
  </si>
  <si>
    <t>Middle class Mexican Americans. ; Mexican Americans -- Social conditions. ; Social mobility -- United States.</t>
  </si>
  <si>
    <t>Mexico's Security Failure : Collapse into Criminal Violence</t>
  </si>
  <si>
    <t>https://ebookcentral.proquest.com/lib/viva-active/detail.action?docID=979054</t>
  </si>
  <si>
    <t>Kenny, Paul;Serrano, Monica;Sotomayor, Arturo C.</t>
  </si>
  <si>
    <t>Violent crimes - Mexico</t>
  </si>
  <si>
    <t>Island of Bones : Essays</t>
  </si>
  <si>
    <t>https://ebookcentral.proquest.com/lib/viva-active/detail.action?docID=980023</t>
  </si>
  <si>
    <t>Castro, Joy</t>
  </si>
  <si>
    <t>Castro, Joy -- Family. ; Castro, Joy -- Childhood and youth. ; English teachers -- United States -- Biography. ; Jehovah's Witnesses -- Biography. ; Abused children -- United States -- Biography. ; Children of divorced parents -- United States -- Biography.</t>
  </si>
  <si>
    <t>The Global Economic Crisis in Latin America : Impacts and Responses</t>
  </si>
  <si>
    <t>https://ebookcentral.proquest.com/lib/viva-active/detail.action?docID=981866</t>
  </si>
  <si>
    <t>Cohen, Michael</t>
  </si>
  <si>
    <t>Latin America - Economic policy - 21st century</t>
  </si>
  <si>
    <t>Tourism in Brazil : Environment, Management and Segments</t>
  </si>
  <si>
    <t>https://ebookcentral.proquest.com/lib/viva-active/detail.action?docID=981867</t>
  </si>
  <si>
    <t>Lohmann, Gui;Dredge, Dianne</t>
  </si>
  <si>
    <t>Contemporary Geographies of Leisure, Tourism and Mobility Ser.</t>
  </si>
  <si>
    <t>Tourism/Hospitality; Economics; Business/Management</t>
  </si>
  <si>
    <t>TRAVEL / Special Interest / General</t>
  </si>
  <si>
    <t>Ambiguities and Tensions in English Language Teaching : Portraits of EFL Teachers As Legitimate Speakers</t>
  </si>
  <si>
    <t>https://ebookcentral.proquest.com/lib/viva-active/detail.action?docID=981972</t>
  </si>
  <si>
    <t>Sayer, Peter</t>
  </si>
  <si>
    <t>ESL and Applied Linguistics Professional Ser.</t>
  </si>
  <si>
    <t>English teachers - Mexico - Oaxaca (State)</t>
  </si>
  <si>
    <t>Environment and Citizenship in Latin America : Natures, Subjects and Struggles</t>
  </si>
  <si>
    <t>https://ebookcentral.proquest.com/lib/viva-active/detail.action?docID=982093</t>
  </si>
  <si>
    <t>Latta, Alex;Wittman, Hannah</t>
  </si>
  <si>
    <t>Political ecology -- Latin America. ; Citizenship -- Latin America. ; Environmental policy -- Citizen participation -- Latin America. ; Environmental protection -- Citizen participation -- Latin America. ; Sustainable development -- Latin America. ; Nature and civilization -- Latin America.</t>
  </si>
  <si>
    <t>New Constitutionalism in Latin America : Promises and Practices</t>
  </si>
  <si>
    <t>https://ebookcentral.proquest.com/lib/viva-active/detail.action?docID=985694</t>
  </si>
  <si>
    <t>Schilling-Vacaflor, Almut;Nolte, Detlef</t>
  </si>
  <si>
    <t>Constitutional law -- Latin America.</t>
  </si>
  <si>
    <t>Lobbying the New President : Interests in Transition</t>
  </si>
  <si>
    <t>https://ebookcentral.proquest.com/lib/viva-active/detail.action?docID=987903</t>
  </si>
  <si>
    <t>Brown, Heath</t>
  </si>
  <si>
    <t>Routledge Research in American Politics and Governance Ser.</t>
  </si>
  <si>
    <t>Pressure groups -- United States. ; Presidents -- United States -- Transition periods.</t>
  </si>
  <si>
    <t>Financial Liberalization and Economic Performance : Brazil at the Crossroads</t>
  </si>
  <si>
    <t>https://ebookcentral.proquest.com/lib/viva-active/detail.action?docID=987958</t>
  </si>
  <si>
    <t>Fernando de Paula, Luiz</t>
  </si>
  <si>
    <t>Banks and banking - Brazil</t>
  </si>
  <si>
    <t>Global Coloniality of Power in Guatemala : Racism, Genocide, Citizenship</t>
  </si>
  <si>
    <t>https://ebookcentral.proquest.com/lib/viva-active/detail.action?docID=988784</t>
  </si>
  <si>
    <t>Martínez Salazar, Egla;Mart Nez Salazar, Egla;Martinez Salazar, Egla</t>
  </si>
  <si>
    <t>Mayas - Violence against - Guatemala</t>
  </si>
  <si>
    <t>With All Thine Heart : Love and the Bible</t>
  </si>
  <si>
    <t>https://ebookcentral.proquest.com/lib/viva-active/detail.action?docID=988918</t>
  </si>
  <si>
    <t>Stavans, Ilan;Drache, Mordecai</t>
  </si>
  <si>
    <t>Love - Biblical teaching</t>
  </si>
  <si>
    <t>High Courts and Economic Governance in Argentina and Brazil : A Comparative Analysis</t>
  </si>
  <si>
    <t>https://ebookcentral.proquest.com/lib/viva-active/detail.action?docID=989130</t>
  </si>
  <si>
    <t>Kapiszewski, Diana</t>
  </si>
  <si>
    <t>Courts of last resort -- Brazil. ; Courts of last resort -- Argentina. ; Political questions and judicial power -- Argentina. ; Political questions and judicial power -- Brazil. ; Brazil -- Economic policy. ; Argentina -- Economic policy.</t>
  </si>
  <si>
    <t>Arizona Firestorm : Global Immigration Realities, National Media, and Provincial Politics</t>
  </si>
  <si>
    <t>https://ebookcentral.proquest.com/lib/viva-active/detail.action?docID=990628</t>
  </si>
  <si>
    <t>Santa Ana, Otto;González de Bustamante, Celeste;Gonzalez De Bustamante, Celeste</t>
  </si>
  <si>
    <t>Emigration and immigration - Press coverage - Arizona</t>
  </si>
  <si>
    <t>Racial Dynamics in Early Twentieth-Century Austin, Texas</t>
  </si>
  <si>
    <t>https://ebookcentral.proquest.com/lib/viva-active/detail.action?docID=990630</t>
  </si>
  <si>
    <t>McDonald, Jason</t>
  </si>
  <si>
    <t>Minorities - Texas - Austin - History</t>
  </si>
  <si>
    <t>Maya and Catholic Cultures in Crisis</t>
  </si>
  <si>
    <t>https://ebookcentral.proquest.com/lib/viva-active/detail.action?docID=990866</t>
  </si>
  <si>
    <t>Early, John D.</t>
  </si>
  <si>
    <t>Christianity and other religions - Latin America</t>
  </si>
  <si>
    <t>History's Peru : The Poetics of Colonial and Postcolonial Historiography</t>
  </si>
  <si>
    <t>https://ebookcentral.proquest.com/lib/viva-active/detail.action?docID=990870</t>
  </si>
  <si>
    <t>Thurner, Mark</t>
  </si>
  <si>
    <t>Historiography -- Peru -- History. ; Peru -- Historiography. ; Peru -- History -- Philosophy.</t>
  </si>
  <si>
    <t>Transnational and Borderland Studies in Mathematics Education</t>
  </si>
  <si>
    <t>https://ebookcentral.proquest.com/lib/viva-active/detail.action?docID=995718</t>
  </si>
  <si>
    <t>Kitchen, Richard S.;Civil, Marta</t>
  </si>
  <si>
    <t>Studies in Mathematical Thinking and Learning Ser.</t>
  </si>
  <si>
    <t>Mathematics</t>
  </si>
  <si>
    <t>Mexicans - United States - Education</t>
  </si>
  <si>
    <t>Institutions Count : Their Role and Significance in Latin American Development</t>
  </si>
  <si>
    <t>https://ebookcentral.proquest.com/lib/viva-active/detail.action?docID=996188</t>
  </si>
  <si>
    <t>Portes, Alejandro;Smith, Lori D.;Smith, Lori D</t>
  </si>
  <si>
    <t>Social institutions - Latin America</t>
  </si>
  <si>
    <t>Measuring Up : A History of Living Standards in Mexico, 1850-1950</t>
  </si>
  <si>
    <t>https://ebookcentral.proquest.com/lib/viva-active/detail.action?docID=997334</t>
  </si>
  <si>
    <t>López-Alonso, Moramay;López-Alonso, Moramay</t>
  </si>
  <si>
    <t>Social Science History Ser.</t>
  </si>
  <si>
    <t>Cost and standard of living -- Mexico -- History. ; Stature -- Mexico -- History. ; Diet -- Mexico -- History. ; Public health -- Mexico -- History. ; Public welfare -- Mexico -- History. ; Poverty -- Mexico -- History.</t>
  </si>
  <si>
    <t>Power Politics : Environmental Activism in South Los Angeles</t>
  </si>
  <si>
    <t>https://ebookcentral.proquest.com/lib/viva-active/detail.action?docID=997520</t>
  </si>
  <si>
    <t>Brodkin, Karen</t>
  </si>
  <si>
    <t>Environmental Studies</t>
  </si>
  <si>
    <t>South Gate (Calif.) - Environmental conditions</t>
  </si>
  <si>
    <t>Brazil, the United States, and the South American Subsystem : Regional Politics and the Absent Empire</t>
  </si>
  <si>
    <t>https://ebookcentral.proquest.com/lib/viva-active/detail.action?docID=997574</t>
  </si>
  <si>
    <t>Teixeira, Carlos Gustavo Poggio</t>
  </si>
  <si>
    <t>South America - Foreign relations - United States</t>
  </si>
  <si>
    <t>Border Rhetorics : Citizenship and Identity on the US-Mexico Frontier</t>
  </si>
  <si>
    <t>https://ebookcentral.proquest.com/lib/viva-active/detail.action?docID=997589</t>
  </si>
  <si>
    <t>DeChaine, D. Robert;Calafell, Bernadette Marie;Chávez, Karma R.;Cisneros, Josue David;Demo, Anne Teresa;Flores, Lisa A.;Goltz, Dustin Bradley;Hasian, Marouf, Jr.;Holling, Michelle A.;Johnson, Julia R.</t>
  </si>
  <si>
    <t>Albma Rhetoric Cult and Soc Crit Ser.</t>
  </si>
  <si>
    <t>Citizenship - Political aspects - United States</t>
  </si>
  <si>
    <t>Latinos, Inc : The Marketing and Making of a People</t>
  </si>
  <si>
    <t>https://ebookcentral.proquest.com/lib/viva-active/detail.action?docID=999937</t>
  </si>
  <si>
    <t>Dávila, Arlene;Dávila, Arlene;Dávila, Arlene</t>
  </si>
  <si>
    <t>Hispanic American consumers. ; Market segmentation -- United States. ; Hispanic Americans -- Ethnic identity.</t>
  </si>
  <si>
    <t>Cuban Revolution as Socialist Human Development : Cuban Revolution As Socialist Human Development</t>
  </si>
  <si>
    <t>https://ebookcentral.proquest.com/lib/viva-active/detail.action?docID=1010537</t>
  </si>
  <si>
    <t>Veltmeyer, Henry;Rushton, Mark</t>
  </si>
  <si>
    <t>Socialism -- Cuba. ; Humanism -- Cuba. ; Cuba -- Social policy. ; Cuba -- Economic policy.</t>
  </si>
  <si>
    <t>The Making of Law : The Supreme Court and Labor Legislation in Mexico, 1875-1931</t>
  </si>
  <si>
    <t>https://ebookcentral.proquest.com/lib/viva-active/detail.action?docID=1011059</t>
  </si>
  <si>
    <t>Suarez-Potts, William</t>
  </si>
  <si>
    <t>Mexico. -- Suprema Corte de Justicia -- History. ; Labor laws and legislation -- Mexico -- History.</t>
  </si>
  <si>
    <t>Planet Taco : A Global History of Mexican Food</t>
  </si>
  <si>
    <t>https://ebookcentral.proquest.com/lib/viva-active/detail.action?docID=1015305</t>
  </si>
  <si>
    <t>Pilcher, Jeffrey M.</t>
  </si>
  <si>
    <t>Home Economics</t>
  </si>
  <si>
    <t>Cooking, Mexican -- History. ; Cooking, Mexican -- Social aspects -- History. ; Ethnicity -- Mexico. ; Food habits -- Mexico -- History. ; Globalization -- Social aspects -- History. ; Mexican Americans -- Food -- History. ; Sovereignty -- Social aspects -- Mexico -- History.</t>
  </si>
  <si>
    <t>Peoples of the Earth : Ethnonationalism, Democracy, and the Indigenous Challenge in 'Latin' America</t>
  </si>
  <si>
    <t>https://ebookcentral.proquest.com/lib/viva-active/detail.action?docID=1021884</t>
  </si>
  <si>
    <t>Andersen, Martin Edwin;Pastor, Robert A.;Pastor, Robert A.</t>
  </si>
  <si>
    <t>Indigenous peoples - Latin America - History</t>
  </si>
  <si>
    <t>Media Power and Democratization in Brazil : TV Globo and the Dilemmas of Political Accountability</t>
  </si>
  <si>
    <t>https://ebookcentral.proquest.com/lib/viva-active/detail.action?docID=1024471</t>
  </si>
  <si>
    <t>Porto, Mauro</t>
  </si>
  <si>
    <t>Routledge Advances in Internationalizing Media Studies</t>
  </si>
  <si>
    <t>Social Science; Fine Arts</t>
  </si>
  <si>
    <t>Television broadcasting - Political aspects - Brazil</t>
  </si>
  <si>
    <t>Mexico-United States Relations : The Semantics of Sovereignty</t>
  </si>
  <si>
    <t>https://ebookcentral.proquest.com/lib/viva-active/detail.action?docID=1024668</t>
  </si>
  <si>
    <t>Santa-Cruz, Arturo</t>
  </si>
  <si>
    <t>Routledge Studies in North American Politics Ser.</t>
  </si>
  <si>
    <t>Sovereignty. ; United States -- Foreign relations -- Mexico. ; Mexico -- Foreign relations -- United States.</t>
  </si>
  <si>
    <t>Performing the US Latina and Latino Borderlands</t>
  </si>
  <si>
    <t>https://ebookcentral.proquest.com/lib/viva-active/detail.action?docID=1025599</t>
  </si>
  <si>
    <t>Sandoval, Chela;Aldama, Arturo J.;García, Peter J.;Díaz-Sánchez, Micaela;Lugones, Maria;Chabram, Angie;Davalos, Karen Mary;Gutiérrez-Jones, Carl;Taylor-García, Daphne V.;Cantú, Norma E.</t>
  </si>
  <si>
    <t>Hispanic Americans in the performing arts</t>
  </si>
  <si>
    <t>Hidden Powers of State in the Cuban Imagination</t>
  </si>
  <si>
    <t>https://ebookcentral.proquest.com/lib/viva-active/detail.action?docID=1026584</t>
  </si>
  <si>
    <t>Routon, Kenneth</t>
  </si>
  <si>
    <t>Political culture -- Cuba. ; Socialism -- Cuba. ; Exceptionalism -- Cuba. ; Cuba -- Politics and government -- 1959-1990. ; Cuba -- Politics and government -- 1990-</t>
  </si>
  <si>
    <t>Everyday Revolutions : Horizontalism and Autonomy in Argentina</t>
  </si>
  <si>
    <t>https://ebookcentral.proquest.com/lib/viva-active/detail.action?docID=1026923</t>
  </si>
  <si>
    <t>Sitrin, Marina A.</t>
  </si>
  <si>
    <t>Financial crises -- Argentina. ; Argentina -- Politics and government.</t>
  </si>
  <si>
    <t>New Century, Old Disparities : Gender and Ethnic Earnings Gaps in Latin America and the Caribbean</t>
  </si>
  <si>
    <t>https://ebookcentral.proquest.com/lib/viva-active/detail.action?docID=1029126</t>
  </si>
  <si>
    <t xml:space="preserve">Nopo, Hugo;The World Bank, </t>
  </si>
  <si>
    <t>Sex discrimination against women -- Economic aspects -- Latin America. ; Ethnic relations -- Economic aspects. ; Discrimination -- Economic aspects -- Latin America.</t>
  </si>
  <si>
    <t>In the Wake of Neoliberalism : Citizenship and Human Rights in Argentina</t>
  </si>
  <si>
    <t>https://ebookcentral.proquest.com/lib/viva-active/detail.action?docID=1031945</t>
  </si>
  <si>
    <t>Faulk, Karen Ann</t>
  </si>
  <si>
    <t>Stanford Studies in Human Rights Ser.</t>
  </si>
  <si>
    <t>Human rights -- Argentina. ; Political rights -- Argentina. ; Neoliberalism -- Argentina. ; Argentina -- Politics and government -- 1983-2002.</t>
  </si>
  <si>
    <t>Exemplary Ambivalence in Late Nineteenth-Century Spanish America : Narrating Creole Subjectivity</t>
  </si>
  <si>
    <t>https://ebookcentral.proquest.com/lib/viva-active/detail.action?docID=1031983</t>
  </si>
  <si>
    <t>Austin, Elisabeth L.</t>
  </si>
  <si>
    <t>Exemplary Ambivalence in Late Nineteenth-Century Spanish America</t>
  </si>
  <si>
    <t>Creoles in literature</t>
  </si>
  <si>
    <t>The New Latin American Left : Cracks in the Empire</t>
  </si>
  <si>
    <t>https://ebookcentral.proquest.com/lib/viva-active/detail.action?docID=1034722</t>
  </si>
  <si>
    <t>Webber, Jeffery R.;Carr, Barry</t>
  </si>
  <si>
    <t>POLITICAL SCIENCE / Political Ideologies / Conservatism &amp; Liberalism</t>
  </si>
  <si>
    <t>Weight of Temptation</t>
  </si>
  <si>
    <t>https://ebookcentral.proquest.com/lib/viva-active/detail.action?docID=1034961</t>
  </si>
  <si>
    <t>Shua, Ana María;Labinger, Andrea G.</t>
  </si>
  <si>
    <t>Latin American Women Writers</t>
  </si>
  <si>
    <t>Literature; Fiction</t>
  </si>
  <si>
    <t>Swarm intelligence. ; Computational intelligence.</t>
  </si>
  <si>
    <t>Visions of Power in Cuba : Revolution, Redemption, and Resistance, 1959-1971</t>
  </si>
  <si>
    <t>https://ebookcentral.proquest.com/lib/viva-active/detail.action?docID=1035004</t>
  </si>
  <si>
    <t>Guerra, Lillian</t>
  </si>
  <si>
    <t>Press and propaganda -- Cuba. ; Public opinion -- Cuba. ; Social psychology -- Cuba. ; Cuba -- History -- Revolution, 1959 -- Propaganda. ; Cuba -- History -- Revolution, 1959 -- Public opinion. ; Cuba -- History -- 1959-1990.</t>
  </si>
  <si>
    <t>Colombia Urbanization Review : Amplifying the Gains from the Urban Transition</t>
  </si>
  <si>
    <t>https://ebookcentral.proquest.com/lib/viva-active/detail.action?docID=1035149</t>
  </si>
  <si>
    <t>Samad, Taimur;Lozano-Gracia, Nancy;Panman, Alexandra</t>
  </si>
  <si>
    <t>Urbanization -- Colombia. ; Urban policy -- Colombia. ; City planning -- Colombia. ; Colombia -- Economic conditions.</t>
  </si>
  <si>
    <t>Distilling the Influence of Alcohol : Aguardiente in Guatemalan History</t>
  </si>
  <si>
    <t>https://ebookcentral.proquest.com/lib/viva-active/detail.action?docID=1035385</t>
  </si>
  <si>
    <t>Carey, David, Jr.</t>
  </si>
  <si>
    <t>Alcoholism - Guatemala - History</t>
  </si>
  <si>
    <t>The Dominican Republic and the Beginning of a Revolutionary Cycle in the Spanish Caribbean : 1861-1898</t>
  </si>
  <si>
    <t>https://ebookcentral.proquest.com/lib/viva-active/detail.action?docID=1037721</t>
  </si>
  <si>
    <t>Álvarez-López, Luis</t>
  </si>
  <si>
    <t>UPA</t>
  </si>
  <si>
    <t>Dominican Republic - Annexation to Spain</t>
  </si>
  <si>
    <t>Fear and Crime in Latin America : Redefining State-Society Relations</t>
  </si>
  <si>
    <t>https://ebookcentral.proquest.com/lib/viva-active/detail.action?docID=1039302</t>
  </si>
  <si>
    <t>Dammert, Lucía</t>
  </si>
  <si>
    <t>Violent crimes -- Latin America. ; Internal security -- Latin America. ; Democracy -- Latin America. ; Security (Psychology) -- Political aspects -- Latin America. ; State, The. ; Latin America -- Politics and government.</t>
  </si>
  <si>
    <t>The Routledge Companion to Latino/a Literature</t>
  </si>
  <si>
    <t>https://ebookcentral.proquest.com/lib/viva-active/detail.action?docID=1039357</t>
  </si>
  <si>
    <t>Bost, Suzanne;Aparicio, Frances R.</t>
  </si>
  <si>
    <t>Routledge Literature Companions Ser.</t>
  </si>
  <si>
    <t>American literature -- Hispanic American authors -- History and criticism.</t>
  </si>
  <si>
    <t>The Life Within : Local Indigenous Society in Mexico's Toluca Valley, 1650-1800</t>
  </si>
  <si>
    <t>https://ebookcentral.proquest.com/lib/viva-active/detail.action?docID=1040654</t>
  </si>
  <si>
    <t>Pizzigoni, Caterina</t>
  </si>
  <si>
    <t>Indians of Mexico -- Mexico -- Toluca Valley -- Social life and customs -- 17th century. ; Indians of Mexico -- Mexico -- Toluca Valley -- Social life and customs -- 18th century. ; Ethnohistory -- Mexico -- Toluca Valley. ; Toluca Valley (Mexico) -- Social life and customs -- 17th century. ; Toluca Valley (Mexico) -- Social life and customs -- 18th century.</t>
  </si>
  <si>
    <t>The Scramble for Citizens : Dual Nationality and State Competition for Immigrants</t>
  </si>
  <si>
    <t>https://ebookcentral.proquest.com/lib/viva-active/detail.action?docID=1040655</t>
  </si>
  <si>
    <t>Cook-Martin, David</t>
  </si>
  <si>
    <t>Dual nationality -- Argentina. ; Dual nationality -- Italy. ; Dual nationality -- Spain. ; Citizenship -- Argentina. ; Citizenship -- Italy. ; Citizenship -- Spain. ; Argentina -- Emigration and immigration -- Government policy.</t>
  </si>
  <si>
    <t>Racial Subordination in Latin America : The Role of the State, Customary Law, and the New Civil Rights Response</t>
  </si>
  <si>
    <t>https://ebookcentral.proquest.com/lib/viva-active/detail.action?docID=1042513</t>
  </si>
  <si>
    <t>Hernández, Tanya Katerí</t>
  </si>
  <si>
    <t>Race discrimination -- Law and legislation -- Latin America. ; Africans -- Legal status, laws, etc. -- Latin America. ; Customary law -- Latin America. ; Civil rights -- Latin America.</t>
  </si>
  <si>
    <t>Hispanic Migration and Urban Development : Studies from Washington DC</t>
  </si>
  <si>
    <t>https://ebookcentral.proquest.com/lib/viva-active/detail.action?docID=1042683</t>
  </si>
  <si>
    <t>Pumar, Enrique S.;Cunnigen, Donald;Bruce, Marino A.</t>
  </si>
  <si>
    <t>Research in Race and Ethnic Relations</t>
  </si>
  <si>
    <t>Computer vision -- Congresses. ; Biometric identification -- Congresses. ; Human behavior -- Observations -- Data processing -- Congresses. ; Pattern recognition systems -- Congresses. ; Image analysis -- Congresses.</t>
  </si>
  <si>
    <t>Civil Society and the State in Left-Led Latin America : Challenges and Limitations to Democratization</t>
  </si>
  <si>
    <t>https://ebookcentral.proquest.com/lib/viva-active/detail.action?docID=1042708</t>
  </si>
  <si>
    <t>Cannon, Barry;Kirby, Professor Peadar</t>
  </si>
  <si>
    <t>Civil society -- Latin America. ; Latin America -- Politics and government.</t>
  </si>
  <si>
    <t>On Captivity : A Spanish Soldier's Experience in a Havana Prison, 1896-1898</t>
  </si>
  <si>
    <t>https://ebookcentral.proquest.com/lib/viva-active/detail.action?docID=1046395</t>
  </si>
  <si>
    <t>Ciges Aparicio, Manuel;Walker, Dolores J.;Schmidt-Nowara, Christopher;Walker, Dolores J.;Walker, Dolores J.</t>
  </si>
  <si>
    <t>Atlantic Crossings Ser.</t>
  </si>
  <si>
    <t>Spanish - Cuba</t>
  </si>
  <si>
    <t>Judging Policy : Courts and Policy Reform in Democratic Brazil</t>
  </si>
  <si>
    <t>https://ebookcentral.proquest.com/lib/viva-active/detail.action?docID=1046399</t>
  </si>
  <si>
    <t>Taylor, Matthew M.</t>
  </si>
  <si>
    <t>Appellate courts -- Brazil -- History. ; Justice, Administration of -- Brazil -- History. ; Political questions and judicial power -- Brazil. ; Brazil -- Politics and government -- 1985-2002.</t>
  </si>
  <si>
    <t>Party-System Collapse : The Roots of Crisis in Peru and Venezuela</t>
  </si>
  <si>
    <t>https://ebookcentral.proquest.com/lib/viva-active/detail.action?docID=1046400</t>
  </si>
  <si>
    <t>Seawright, Jason</t>
  </si>
  <si>
    <t>Elections -- Peru. ; Elections -- Venezuela. ; Political parties -- Peru. ; Political parties -- Venezuela. ; Voting -- Peru. ; Voting -- Venezuela. ; Peru -- Politics and government -- 1980-</t>
  </si>
  <si>
    <t>U. S. -Venezuela Relations since The 1990s : Coping with Midlevel Security Threats</t>
  </si>
  <si>
    <t>https://ebookcentral.proquest.com/lib/viva-active/detail.action?docID=1046822</t>
  </si>
  <si>
    <t>Corrales, Javier;Romero, Carlos A.</t>
  </si>
  <si>
    <t>Venezuela - Foreign economic relations - United States</t>
  </si>
  <si>
    <t>Cinema and Inter-American Relations : Tracking Transnational Affect</t>
  </si>
  <si>
    <t>https://ebookcentral.proquest.com/lib/viva-active/detail.action?docID=1047028</t>
  </si>
  <si>
    <t>Pérez Melgosa, Adrián;Pérez Melgosa, Adrián</t>
  </si>
  <si>
    <t>Routledge Advances in Film Studies</t>
  </si>
  <si>
    <t>Latin Americans in motion pictures. ; Motion pictures -- United States -- History -- 20th century. ; Motion pictures -- Latin America -- History -- 20th century. ; Latin America -- In motion pictures. ; Latin America -- Relations -- United States. ; United States -- Relations -- Latin America.</t>
  </si>
  <si>
    <t>Mestizo State : Reading Race in Modern Mexico</t>
  </si>
  <si>
    <t>https://ebookcentral.proquest.com/lib/viva-active/detail.action?docID=1047448</t>
  </si>
  <si>
    <t>Lund, Joshua</t>
  </si>
  <si>
    <t>Solid-state lasers. ; Lasers.</t>
  </si>
  <si>
    <t>Dissonant Divas in Chicana Music : The Limits of La Onda</t>
  </si>
  <si>
    <t>https://ebookcentral.proquest.com/lib/viva-active/detail.action?docID=1047450</t>
  </si>
  <si>
    <t>Vargas, Deborah R.</t>
  </si>
  <si>
    <t>Number theory. ; Algebra.</t>
  </si>
  <si>
    <t>Curious Unions : Mexican American Workers and Resistance in Oxnard, California, 1898-1961</t>
  </si>
  <si>
    <t>https://ebookcentral.proquest.com/lib/viva-active/detail.action?docID=1050155</t>
  </si>
  <si>
    <t>Barajas, Frank P.</t>
  </si>
  <si>
    <t>Nebraska</t>
  </si>
  <si>
    <t>Race and Ethnicity in the American West</t>
  </si>
  <si>
    <t>Foreign workers, Mexican -- California -- Oxnard -- History. ; Labor movement -- California -- Oxnard -- History. ; Mexican Americans -- Civil rights -- California -- Oxnard -- History. ; Mexican Americans -- Cultural assimilation -- California -- Oxnard -- History.</t>
  </si>
  <si>
    <t>Consent of the Damned : Ordinary Argentinians in the Dirty War</t>
  </si>
  <si>
    <t>https://ebookcentral.proquest.com/lib/viva-active/detail.action?docID=1053770</t>
  </si>
  <si>
    <t>Sheinin, David M. K.</t>
  </si>
  <si>
    <t>Argentina - Military policy - 20th century</t>
  </si>
  <si>
    <t>Mexican Inclusion : The Origins of Anti-Discrimination Policy in Texas and the Southwest</t>
  </si>
  <si>
    <t>https://ebookcentral.proquest.com/lib/viva-active/detail.action?docID=1056978</t>
  </si>
  <si>
    <t>Gritter, Matthew</t>
  </si>
  <si>
    <t>Texas A&amp;M University Press</t>
  </si>
  <si>
    <t>Mexican Americans - Southwestern States - Ethnic identity - History - 20th century</t>
  </si>
  <si>
    <t>Militarizing the Border : When Mexicans Became the Enemy</t>
  </si>
  <si>
    <t>https://ebookcentral.proquest.com/lib/viva-active/detail.action?docID=1056982</t>
  </si>
  <si>
    <t>Levario, Miguel Antonio</t>
  </si>
  <si>
    <t>Violence -- Texas, West -- History -- 20th century. ; Mexican Americans -- Texas -- Ethnic identity. ; Mexican-American Border Region -- Ethnic relations -- History -- 20th century. ; El Paso (Tex.) -- Ethnic relations -- History -- 20th century. ; Texas, West -- Ethnic relations -- History -- 20th century. ; United States -- Foreign relations -- Mexico -- History -- 20th century. ; Mexico -- Foreign relations -- United States -- History -- 20th century.</t>
  </si>
  <si>
    <t>Dolores Del Río : Beauty in Light and Shade</t>
  </si>
  <si>
    <t>https://ebookcentral.proquest.com/lib/viva-active/detail.action?docID=1056986</t>
  </si>
  <si>
    <t>Hall, Linda B.</t>
  </si>
  <si>
    <t>Del Rio, Dolores, -- 1905-1983. ; Motion picture actors and actresses -- Mexico -- Biography. ; Motion pictures -- Social aspects -- United States -- History -- 20th century.</t>
  </si>
  <si>
    <t>Questioning the Cuban Exile Model : Race, Gender, and Resettlement, 1959-1979</t>
  </si>
  <si>
    <t>https://ebookcentral.proquest.com/lib/viva-active/detail.action?docID=1057797</t>
  </si>
  <si>
    <t>Cramer, Benjamin W.</t>
  </si>
  <si>
    <t>LFB Scholarly Publishing LLC</t>
  </si>
  <si>
    <t>The New Americans: Recent Immigration and American Society</t>
  </si>
  <si>
    <t>Anterior cruciate ligament -- Wounds and injuries -- Prevention. ; Anterior cruciate ligament. ; Ligaments -- Wounds and injuries. ; Sports injuries.</t>
  </si>
  <si>
    <t>Brazillian Immigration and the Quest for Identity</t>
  </si>
  <si>
    <t>https://ebookcentral.proquest.com/lib/viva-active/detail.action?docID=1057806</t>
  </si>
  <si>
    <t>Fritz, Catarina</t>
  </si>
  <si>
    <t>Asbestosis -- Complications -- Cytopathology. ; Asbestosis -- Complications -- Cytodiagnosis. ; Asbestos -- Carcinogenicity. ; Asbestos fibers -- Analysis.</t>
  </si>
  <si>
    <t>Women, Migration, and Domestic Work on the Texas-Mexico Border</t>
  </si>
  <si>
    <t>https://ebookcentral.proquest.com/lib/viva-active/detail.action?docID=1057826</t>
  </si>
  <si>
    <t>Mendoza, Christina</t>
  </si>
  <si>
    <t>Double stars -- Observers' manuals. ; Astronomy.</t>
  </si>
  <si>
    <t>Ethnic Identification among Urban Latinos : Language and Flexibility</t>
  </si>
  <si>
    <t>https://ebookcentral.proquest.com/lib/viva-active/detail.action?docID=1057830</t>
  </si>
  <si>
    <t xml:space="preserve">Negron, Rosalyn;Negr[n, Rosalyn;Negroun, Rosalyn </t>
  </si>
  <si>
    <t>Distribution (Probability theory) ; Regression analysis.</t>
  </si>
  <si>
    <t>Language, Gender, and Academic Performance : A Study of the Children of Dominican Immigrants</t>
  </si>
  <si>
    <t>https://ebookcentral.proquest.com/lib/viva-active/detail.action?docID=1057836</t>
  </si>
  <si>
    <t xml:space="preserve">Perea, Flavia C;Pera, Flavia C;Pereua, Flavia C </t>
  </si>
  <si>
    <t>Deaf -- Means of communication. ; Communication devices for people with disabilities. ; Deaf -- Means of communication -- Technological innovations. ; Communication devices for people with disabilities -- Technological innovations.</t>
  </si>
  <si>
    <t>Undocumented Latino College Students : Their Socioemotional and Academic Experiences</t>
  </si>
  <si>
    <t>https://ebookcentral.proquest.com/lib/viva-active/detail.action?docID=1057837</t>
  </si>
  <si>
    <t xml:space="preserve">Perez, William;Cortes, Richard Douglas;Peurez William Corteus Richard Douglas, </t>
  </si>
  <si>
    <t>Algorithms. ; Cancer -- Surgery. ; Oncology.</t>
  </si>
  <si>
    <t>Syndemic Suffering : Social Distress, Depression, and Diabetes among Mexican Immigrant Wome</t>
  </si>
  <si>
    <t>https://ebookcentral.proquest.com/lib/viva-active/detail.action?docID=1058527</t>
  </si>
  <si>
    <t>Mendenhall, Emily</t>
  </si>
  <si>
    <t>Advances in Critical Medical Anthropology Ser.</t>
  </si>
  <si>
    <t>Mexican American women - Health and hygiene</t>
  </si>
  <si>
    <t>Celebrating Insurrection : The Commemoration and Representation of the Nineteenth-Century Mexican Pronunciamiento</t>
  </si>
  <si>
    <t>https://ebookcentral.proquest.com/lib/viva-active/detail.action?docID=1062338</t>
  </si>
  <si>
    <t>Revolutions -- Mexico -- History -- 19th century. ; Political violence -- Mexico -- History -- 19th century. ; Political culture -- Mexico -- History -- 19th century. ; Government, Resistance to -- Mexico -- History -- 19th century. ; Legitimacy of governments -- Mexico -- History -- 19th century. ; Collective memory -- Mexico. ; Mexico -- History -- 19th century.</t>
  </si>
  <si>
    <t>European Union and the Accommodation of Basque Difference in Spain : European Union and the Accommodation of Basque Difference in Spain</t>
  </si>
  <si>
    <t>https://ebookcentral.proquest.com/lib/viva-active/detail.action?docID=1069500</t>
  </si>
  <si>
    <t>Bourne, Angela K.;Bourne, Angela K.</t>
  </si>
  <si>
    <t>Manchester University Press</t>
  </si>
  <si>
    <t>Europe in Change Ser.</t>
  </si>
  <si>
    <t>European Union. ; Regionalism -- Spain. ; Nationalism -- Spain. ; Basques -- Spain -- Politics and government -- 20th century. ; Spain -- Administrative and political divisions.</t>
  </si>
  <si>
    <t>Hugo Chavez Bolivarian Revolution : Populism and Democracy in a Globalised Age</t>
  </si>
  <si>
    <t>https://ebookcentral.proquest.com/lib/viva-active/detail.action?docID=1069620</t>
  </si>
  <si>
    <t>Cannon, Barry</t>
  </si>
  <si>
    <t>Chávez Frías, Hugo. ; Presidents -- Venezuela. ; Populism -- Latin America. ; Venezuela -- Politics and government -- 1999-</t>
  </si>
  <si>
    <t>In/Security in Colombia : Writing Political Identities in the Democratic Security Policy</t>
  </si>
  <si>
    <t>https://ebookcentral.proquest.com/lib/viva-active/detail.action?docID=1069646</t>
  </si>
  <si>
    <t>Echavarría, Josefina A.;Lawler, Peter;Guittet, Emmanuel Pierre</t>
  </si>
  <si>
    <t>New Approaches to Conflict Analysis Ser.</t>
  </si>
  <si>
    <t>National security -- Colombia. ; Conflict management -- Colombia. ; Colombia -- Politics and government -- 21st century. ; Colombia -- Foreign relations.</t>
  </si>
  <si>
    <t>Connections after Colonialism : Europe and Latin America in The 1820s</t>
  </si>
  <si>
    <t>https://ebookcentral.proquest.com/lib/viva-active/detail.action?docID=1073300</t>
  </si>
  <si>
    <t>Brown, Matthew;Paquette, Gabriel;Fowler, Will;Fradera, Josep M.;Gibson, Carrie;Hamnett, Brian Roger;Isabella, Maurizio;Macintyre, Iona;Rock, David;Schmidt-Nowara, Christopher</t>
  </si>
  <si>
    <t>Postcolonialism - Latin America</t>
  </si>
  <si>
    <t>Crafting Prehispanic Maya Kinship</t>
  </si>
  <si>
    <t>https://ebookcentral.proquest.com/lib/viva-active/detail.action?docID=1073301</t>
  </si>
  <si>
    <t>Ensor, Bradley E.</t>
  </si>
  <si>
    <t>Tabasco (Mexico: State) - Antiquities</t>
  </si>
  <si>
    <t>Muy buenas noches : Mexico, Television, and the Cold War</t>
  </si>
  <si>
    <t>https://ebookcentral.proquest.com/lib/viva-active/detail.action?docID=1073753</t>
  </si>
  <si>
    <t>Gonzalez de Bustamante, Celeste;Cole, Richard</t>
  </si>
  <si>
    <t>Partido Revolucionario Institucional -- History -- 20th century. ; Television broadcasting of news -- Mexico -- History -- 20th century. ; Cold War -- Influence. ; Mexico -- History -- 20th century.</t>
  </si>
  <si>
    <t>A Century of Chicano History : Empire, Nations and Migration</t>
  </si>
  <si>
    <t>https://ebookcentral.proquest.com/lib/viva-active/detail.action?docID=1075217</t>
  </si>
  <si>
    <t>Fernandez, Raul E.;Gonzalez, Gilbert G.</t>
  </si>
  <si>
    <t>Mexican Americans - History - 19th century</t>
  </si>
  <si>
    <t>Inscribing the Environment : Ecocritical Approaches to Medieval Spanish Literature</t>
  </si>
  <si>
    <t>https://ebookcentral.proquest.com/lib/viva-active/detail.action?docID=1075596</t>
  </si>
  <si>
    <t>Scarborough, Connie</t>
  </si>
  <si>
    <t>Fundamentals of Medieval and Early Modern Culture Ser.</t>
  </si>
  <si>
    <t>Spanish literature -- To 1500 -- History and criticism. ; Nature in literature. ; Ecocriticism.</t>
  </si>
  <si>
    <t>Economic Life of Mexican Beach Vendors : Acapulco, Puerto Vallarta, and Cabo San Lucas</t>
  </si>
  <si>
    <t>https://ebookcentral.proquest.com/lib/viva-active/detail.action?docID=1076200</t>
  </si>
  <si>
    <t>Wilson, Tamar Diana</t>
  </si>
  <si>
    <t>Street vendors - Mexico</t>
  </si>
  <si>
    <t>Adversity Is My Angel : The Life and Career of Raul H. Castro</t>
  </si>
  <si>
    <t>https://ebookcentral.proquest.com/lib/viva-active/detail.action?docID=1077368</t>
  </si>
  <si>
    <t>Castro, Raul H.;August, Jack L.</t>
  </si>
  <si>
    <t>TCU Press</t>
  </si>
  <si>
    <t>Hispanic Americans - Arizona</t>
  </si>
  <si>
    <t>El Norte or Bust! : How Migration Fever and Microcredit Produced a Financial Crash in a Latin American Town</t>
  </si>
  <si>
    <t>https://ebookcentral.proquest.com/lib/viva-active/detail.action?docID=1077407</t>
  </si>
  <si>
    <t>Stoll, David</t>
  </si>
  <si>
    <t>Economics; Political Science</t>
  </si>
  <si>
    <t>Illegal aliens - United States - Economic conditions</t>
  </si>
  <si>
    <t>Side Effects : Mexican Governance under NAFTA's Labor and Environmental Agreements</t>
  </si>
  <si>
    <t>https://ebookcentral.proquest.com/lib/viva-active/detail.action?docID=1077415</t>
  </si>
  <si>
    <t>Aspinwall, Mark</t>
  </si>
  <si>
    <t>Canada. -- Treaties, etc. -- 1993 Sept. 13. ; Canada. -- Treaties, etc. -- 1993 Sept. 14. ; Administrative agencies -- Mexico. ; Environmental policy -- Mexico. ; Environmental law -- Mexico. ; Labor policy -- Mexico. ; Labor laws and legislation -- Mexico.</t>
  </si>
  <si>
    <t>South American Cinematic Culture : Policy, Production, Distribution and Exhibition</t>
  </si>
  <si>
    <t>https://ebookcentral.proquest.com/lib/viva-active/detail.action?docID=1080662</t>
  </si>
  <si>
    <t>Ross, Miriam</t>
  </si>
  <si>
    <t>Cambridge Scholars Publisher</t>
  </si>
  <si>
    <t>Motion pictures -- South America. ; Motion picture industry -- South America.</t>
  </si>
  <si>
    <t>Gendered Crime and Punishment : Women And/in the Hispanic Inquisitions</t>
  </si>
  <si>
    <t>https://ebookcentral.proquest.com/lib/viva-active/detail.action?docID=1081595</t>
  </si>
  <si>
    <t>Schlau, Stacey</t>
  </si>
  <si>
    <t>Law; Religion</t>
  </si>
  <si>
    <t>Inquisition -- Sociological aspects. ; Inquisition -- Spain -- History. ; Inquisition -- Latin America -- History. ; Female offenders -- Spain -- History. ; Female offenders -- Latin America -- History. ; Women -- Spain -- Social conditions. ; Women -- Latin America -- Social conditions.</t>
  </si>
  <si>
    <t>Christianity in Latin America : Christianity in Latin America: Revised and Expanded Edition</t>
  </si>
  <si>
    <t>https://ebookcentral.proquest.com/lib/viva-active/detail.action?docID=1081626</t>
  </si>
  <si>
    <t>Prien, Hans-Jürgen;Buckwalter, Stephen</t>
  </si>
  <si>
    <t>Catholic Church -- Latin America -- History. ; Christianity -- Latin America -- History. ; Latin America -- Church history.</t>
  </si>
  <si>
    <t>Typological Grammar of Panare : A Cariban Language of Venezuela</t>
  </si>
  <si>
    <t>https://ebookcentral.proquest.com/lib/viva-active/detail.action?docID=1081629</t>
  </si>
  <si>
    <t>Payne, Thomas E.;Payne, Doris L.</t>
  </si>
  <si>
    <t>Brill's Studies in the Indigenous Languages of the Americas Ser.</t>
  </si>
  <si>
    <t>Venezuela - Languages</t>
  </si>
  <si>
    <t>Writing National Cinema : Film Journals and Film Culture in Peru</t>
  </si>
  <si>
    <t>https://ebookcentral.proquest.com/lib/viva-active/detail.action?docID=1084882</t>
  </si>
  <si>
    <t>Middents, Jeffrey</t>
  </si>
  <si>
    <t>Dartmouth College Press</t>
  </si>
  <si>
    <t>Interfaces: Studies in Visual Culture</t>
  </si>
  <si>
    <t>Film criticism -- Peru -- History. ; Motion pictures -- Periodicals -- History. ; Motion pictures -- Peru -- History -- 20th century. ; Peruvian periodicals -- History -- 20th century.</t>
  </si>
  <si>
    <t>Global Issues in Contemporary Hispanic Women's Writing : Shaping Gender, the Environment, and Politics</t>
  </si>
  <si>
    <t>https://ebookcentral.proquest.com/lib/viva-active/detail.action?docID=1092656</t>
  </si>
  <si>
    <t>Cibreiro, Estrella;López, Francisca</t>
  </si>
  <si>
    <t>Routledge Studies in Contemporary Literature Ser.</t>
  </si>
  <si>
    <t>Spanish literature -- Women authors -- History and criticism. ; Spanish American literature -- Women authors -- History and criticism. ; Women and literature -- Latin America. ; Women and literature -- Spain. ; Gender identity in literature. ; Ecofeminism in literature.</t>
  </si>
  <si>
    <t>Populism in Venezuela</t>
  </si>
  <si>
    <t>https://ebookcentral.proquest.com/lib/viva-active/detail.action?docID=1092722</t>
  </si>
  <si>
    <t>Brading, Ryan</t>
  </si>
  <si>
    <t>Chávez Frías, Hugo. ; Populism -- Venezuela. ; Venezuela -- Politics and government -- 1999-</t>
  </si>
  <si>
    <t>The Europeanization of National Foreign Policies Towards Latin America</t>
  </si>
  <si>
    <t>https://ebookcentral.proquest.com/lib/viva-active/detail.action?docID=1092731</t>
  </si>
  <si>
    <t>Ruano, Lorena</t>
  </si>
  <si>
    <t>Routledge Advances in European Politics Ser.</t>
  </si>
  <si>
    <t>European Union countries -- Foreign relations -- Latin America -- Case studies. ; Latin America -- Foreign relations -- European Union countries -- Case studies.</t>
  </si>
  <si>
    <t>Building Partnerships in the Americas : A Guide for Global Health Workers</t>
  </si>
  <si>
    <t>https://ebookcentral.proquest.com/lib/viva-active/detail.action?docID=1093546</t>
  </si>
  <si>
    <t xml:space="preserve">Krasnoff, Margo J.;Margo J Krasnoff, MD </t>
  </si>
  <si>
    <t>Geisel Series in Global Health and Medicine</t>
  </si>
  <si>
    <t>Poor -- Medical care -- North America. ; Poor -- Medical care -- South America. ; Poor -- Medical care -- Central America. ; Public health personnel -- North America. ; Public health personnel -- South America. ; Public health personnel -- Central America. ; Medical personnel -- North America.</t>
  </si>
  <si>
    <t>Joe Moakley's Journey : From South Boston to el Salvador</t>
  </si>
  <si>
    <t>https://ebookcentral.proquest.com/lib/viva-active/detail.action?docID=1093564</t>
  </si>
  <si>
    <t>Schneider, Mark Robert</t>
  </si>
  <si>
    <t>Northeastern University Press</t>
  </si>
  <si>
    <t>Moakley, John Joseph, -- 1927-2001. ; United States. -- Congress. -- House -- Biography. ; Legislators -- Massachusetts -- Biography. ; Legislators -- United States -- Biography. ; Boston (Mass.) -- Biography. ; Massachusetts -- Politics and government -- 1951- ; South Boston (Boston, Mass.) -- Biography.</t>
  </si>
  <si>
    <t>Brazil at the Dawn of the Eighteenth Century</t>
  </si>
  <si>
    <t>https://ebookcentral.proquest.com/lib/viva-active/detail.action?docID=1093578</t>
  </si>
  <si>
    <t>Antonil, André João;Coates, Timothy;Schwartz, Stuart B.</t>
  </si>
  <si>
    <t>Tagus Press at UMass Dartmouth</t>
  </si>
  <si>
    <t>Classic Histories from the Portuguese-Speaking World in Translation</t>
  </si>
  <si>
    <t>Sugar growing -- Brazil. ; Tobacco -- Brazil. ; Gold mines and mining -- Brazil. ; Brazil -- Economic conditions -- Early works to 1800.</t>
  </si>
  <si>
    <t>Central America in the New Millennium : Living Transition and Reimagining Democracy</t>
  </si>
  <si>
    <t>https://ebookcentral.proquest.com/lib/viva-active/detail.action?docID=1094714</t>
  </si>
  <si>
    <t>Burrell, Jennifer L.;Moodie, Ellen</t>
  </si>
  <si>
    <t>Democratization -- Central America. ; Democracy -- Central America. ; Central America -- Politics and government -- 21st century. ; Central America -- Economic policy. ; Central America -- Social policy.</t>
  </si>
  <si>
    <t>The State and Security in Mexico : Transformation and Crisis in Regional Perspective</t>
  </si>
  <si>
    <t>https://ebookcentral.proquest.com/lib/viva-active/detail.action?docID=1097844</t>
  </si>
  <si>
    <t>Bow, Brian;Santa-Cruz, Arturo</t>
  </si>
  <si>
    <t>Military Science; Political Science</t>
  </si>
  <si>
    <t>Security, International -- North America. ; Security, International -- Mexico. ; Mexico -- Politics and government -- 2000-</t>
  </si>
  <si>
    <t>Touring Poverty</t>
  </si>
  <si>
    <t>https://ebookcentral.proquest.com/lib/viva-active/detail.action?docID=1097867</t>
  </si>
  <si>
    <t>Freire-Medeiros, Bianca</t>
  </si>
  <si>
    <t>Routledge Advances in Sociology Ser.</t>
  </si>
  <si>
    <t>Tourism - Moral and ethical aspects</t>
  </si>
  <si>
    <t>Race, Gender, and the Politics of Skin Tone</t>
  </si>
  <si>
    <t>https://ebookcentral.proquest.com/lib/viva-active/detail.action?docID=1099207</t>
  </si>
  <si>
    <t>Hunter, Margaret L.</t>
  </si>
  <si>
    <t>Human skin color - United States - Psychological aspects</t>
  </si>
  <si>
    <t>Immigration, Ethnicity, and National Identity in Brazil, 1808 to the Present</t>
  </si>
  <si>
    <t>https://ebookcentral.proquest.com/lib/viva-active/detail.action?docID=1099791</t>
  </si>
  <si>
    <t>Lesser, Jeffrey</t>
  </si>
  <si>
    <t>National characteristics, Brazilian -- History -- 19th century. ; National characteristics, Brazilian -- History -- 20th century. ; Immigrants -- Brazil -- History -- 19th century. ; Immigrants -- Brazil -- History -- 20th century. ; Brazil -- Ethnic relations -- History.</t>
  </si>
  <si>
    <t>Angels, Demons and the New World</t>
  </si>
  <si>
    <t>https://ebookcentral.proquest.com/lib/viva-active/detail.action?docID=1099804</t>
  </si>
  <si>
    <t>Cervantes, Fernando;Redden, Andrew</t>
  </si>
  <si>
    <t>Angels. ; Demonology. ; Latin America -- Religion.</t>
  </si>
  <si>
    <t>Latin American State Building in Comparative Perspective : Social Foundations of Institutional Order</t>
  </si>
  <si>
    <t>https://ebookcentral.proquest.com/lib/viva-active/detail.action?docID=1099808</t>
  </si>
  <si>
    <t>Kurtz, Marcus J.</t>
  </si>
  <si>
    <t>Nation-building -- Latin America -- History. ; Latin America -- Politics and government. ; Latin America -- Social conditions.</t>
  </si>
  <si>
    <t>Globalization and Austerity Politics in Latin America</t>
  </si>
  <si>
    <t>https://ebookcentral.proquest.com/lib/viva-active/detail.action?docID=1099872</t>
  </si>
  <si>
    <t>Kaplan, Stephen B.</t>
  </si>
  <si>
    <t>Globalization -- Latin America. ; Latin America -- Economic policy. ; Latin America -- Politics and government.</t>
  </si>
  <si>
    <t>Globalization and the Distribution of Wealth : The Latin American Experience, 1982–2008</t>
  </si>
  <si>
    <t>https://ebookcentral.proquest.com/lib/viva-active/detail.action?docID=1099912</t>
  </si>
  <si>
    <t>Kacowicz, Arie M.</t>
  </si>
  <si>
    <t>Income distribution -- Latin America. ; Globalization -- Latin America.</t>
  </si>
  <si>
    <t>Market Justice : Political Economic Struggle in Bolivia</t>
  </si>
  <si>
    <t>https://ebookcentral.proquest.com/lib/viva-active/detail.action?docID=1099931</t>
  </si>
  <si>
    <t>Kaup, Brent Z.</t>
  </si>
  <si>
    <t>Neoliberalism -- Bolivia. ; Free enterprise -- Bolivia. ; Bolivia -- Economic policy.</t>
  </si>
  <si>
    <t>Black–Latino Relations in U.S. National Politics : Beyond Conflict or Cooperation</t>
  </si>
  <si>
    <t>https://ebookcentral.proquest.com/lib/viva-active/detail.action?docID=1099932</t>
  </si>
  <si>
    <t>Hero, Rodney E.;Preuhs, Robert R.</t>
  </si>
  <si>
    <t>African Americans -- Relations with Hispanic Americans. ; African Americans -- Politics and government. ; Hispanic Americans -- Politics and government. ; United States -- Ethnic relations -- Political aspects.</t>
  </si>
  <si>
    <t>Labor and Love in Guatemala : The Eve of Independence</t>
  </si>
  <si>
    <t>https://ebookcentral.proquest.com/lib/viva-active/detail.action?docID=1102614</t>
  </si>
  <si>
    <t>Komisaruk, Catherine</t>
  </si>
  <si>
    <t>Labor -- Guatemala -- History. ; Slavery -- Guatemala -- History. ; Ethnicity -- Guatemala -- History. ; Marriage -- Guatemala -- History. ; Social change -- Guatemala -- History. ; Guatemala -- History -- To 1821.</t>
  </si>
  <si>
    <t>Waking from the Dream : Mexico's Middle Classes After 1968</t>
  </si>
  <si>
    <t>https://ebookcentral.proquest.com/lib/viva-active/detail.action?docID=1102616</t>
  </si>
  <si>
    <t>Walker, Louise E.</t>
  </si>
  <si>
    <t>Middle class -- Political activity -- Mexico -- History -- 20th century. ; Mexico -- Economic conditions -- 1970-1982. ; Mexico -- Economic conditions -- 1982-1994. ; Mexico -- Economic policy -- 1970-1994. ; Mexico -- Politics and government -- 1970-1988.</t>
  </si>
  <si>
    <t>Latin America's Middle Class : Unsettled Debates and New Histories</t>
  </si>
  <si>
    <t>https://ebookcentral.proquest.com/lib/viva-active/detail.action?docID=1104203</t>
  </si>
  <si>
    <t>Parker, David S.;Walker, Louise E.;López-Pedreros, Abel Ricardo;Silva, J. Pablo;Barros, Rodolfo;French, Bill;Owensby, Brian P.;Pike, Fredrick B.;Johnson, John J.;Benedetti, Mario</t>
  </si>
  <si>
    <t>Middle class - Latin America - History - 20th century</t>
  </si>
  <si>
    <t>Land of Disenchantment : Latino/o Identities and Transformations in Northern New Mexico</t>
  </si>
  <si>
    <t>https://ebookcentral.proquest.com/lib/viva-active/detail.action?docID=1104389</t>
  </si>
  <si>
    <t>Trujillo, Michael L.</t>
  </si>
  <si>
    <t>University of New Mexico Press</t>
  </si>
  <si>
    <t>Retina -- Cytology. ; Neuroglia.</t>
  </si>
  <si>
    <t>Historia Verdadera de la Conquista de la Nueva España</t>
  </si>
  <si>
    <t>https://ebookcentral.proquest.com/lib/viva-active/detail.action?docID=1104392</t>
  </si>
  <si>
    <t xml:space="preserve">Díaz del Castillo, Bernal;Carrasco, David </t>
  </si>
  <si>
    <t>Cortés, Hernán, -- 1485-1547. ; Imperialism -- History -- 16th century. ; Mexico -- History -- Conquest, 1519-1540. ; New Spain -- History -- 16th century.</t>
  </si>
  <si>
    <t>Masculinity and Sexuality in Modern Mexico</t>
  </si>
  <si>
    <t>https://ebookcentral.proquest.com/lib/viva-active/detail.action?docID=1104395</t>
  </si>
  <si>
    <t>Macías-González, Víctor M.;Rubenstein, Anne</t>
  </si>
  <si>
    <t>Diálogos Ser.</t>
  </si>
  <si>
    <t>Psychology; Social Science</t>
  </si>
  <si>
    <t>Masculinity -- Mexico -- History. ; Men -- Mexico -- Identity. ; Machismo -- Mexico. ; Sex -- Mexico -- History. ; Sex role -- Mexico -- History. ; Men -- Mexico -- Social life and customs. ; Mexico -- Civilization.</t>
  </si>
  <si>
    <t>Bakers and Basques : A Social History of Bread in Mexico</t>
  </si>
  <si>
    <t>https://ebookcentral.proquest.com/lib/viva-active/detail.action?docID=1104398</t>
  </si>
  <si>
    <t>Weis, Robert</t>
  </si>
  <si>
    <t>Bread industry -- Mexico -- History. ; Bread -- Economic aspects -- Mexico -- History. ; Bread -- Political aspects -- Mexico -- History. ; Bakeries -- Mexico -- History. ; Bakers -- Political activity -- Mexico -- History. ; Mexico -- Economic conditions. ; Mexico -- Social conditions.</t>
  </si>
  <si>
    <t>The Riddle of Cantinflas : Essays on Hispanic Popular Culture</t>
  </si>
  <si>
    <t>https://ebookcentral.proquest.com/lib/viva-active/detail.action?docID=1104408</t>
  </si>
  <si>
    <t>Cantinflas, -- 1911-1993. ; Popular culture -- Latin America. ; Kitsch -- Latin America.</t>
  </si>
  <si>
    <t>The Roots of Conservatism in Mexico : Catholicism, Society, and Politics in the Mixteca Baja, 1750-1962</t>
  </si>
  <si>
    <t>https://ebookcentral.proquest.com/lib/viva-active/detail.action?docID=1104412</t>
  </si>
  <si>
    <t>Smith, Benjamin T.</t>
  </si>
  <si>
    <t>Agriculture; History; Business/Management</t>
  </si>
  <si>
    <t>Catholic Church -- Mexico -- Oaxaca (State) -- History. ; Peasants -- Political activity -- Mexico -- Oaxaca (State) -- History. ; Peasants -- Religious life -- Mexico -- Oaxaca (State) -- History. ; Conservatism -- Mexico -- Oaxaca (State) -- History. ; Religion and politics -- Mexico -- Oaxaca (State) -- History. ; Oaxaca (Mexico : State) -- Politics and government.</t>
  </si>
  <si>
    <t>Creating Mexican Consumer Culture in the Age of Porfirio Díaz</t>
  </si>
  <si>
    <t>https://ebookcentral.proquest.com/lib/viva-active/detail.action?docID=1104413</t>
  </si>
  <si>
    <t>Bunker, Steven B.</t>
  </si>
  <si>
    <t>Díaz, Porfirio, -- 1830-1915. ; Consumers -- Mexico -- History -- 20th century. ; Consumption (Economics) -- Mexico -- History -- 20th century. ; Mexico -- Commerce -- History -- 20th century. ; Mexico -- Social conditions -- 20th century. ; Mexico -- History -- 1867-1910.</t>
  </si>
  <si>
    <t>Calunga and the Legacy of an African Language in Brazil</t>
  </si>
  <si>
    <t>https://ebookcentral.proquest.com/lib/viva-active/detail.action?docID=1104414</t>
  </si>
  <si>
    <t>Byrd, Steven</t>
  </si>
  <si>
    <t>Portuguese language -- Dialects -- Brazil -- Minas Gerais. ; Portuguese language -- Dialects -- Brazil -- Foreign elements -- African. ; Portuguese language -- Brazil -- African influences. ; African languages -- Influence on Portuguese. ; Brazil -- Civilization -- African influences.</t>
  </si>
  <si>
    <t>The Spanish Language of New Mexico and Southern Colorado : A Linguistic Atlas</t>
  </si>
  <si>
    <t>https://ebookcentral.proquest.com/lib/viva-active/detail.action?docID=1104415</t>
  </si>
  <si>
    <t>Bills, Garland D.;Vigil, Neddy A.</t>
  </si>
  <si>
    <t>Spanish language -- Dialects -- New Mexico. ; Spanish language -- Dialects -- Colorado. ; Areal linguistics.</t>
  </si>
  <si>
    <t>The Mapuche in Modern Chile : A Cultural History</t>
  </si>
  <si>
    <t>https://ebookcentral.proquest.com/lib/viva-active/detail.action?docID=1104838</t>
  </si>
  <si>
    <t>Crow, Joanna;Stebbins, Robert C.</t>
  </si>
  <si>
    <t>Indians of South America - Chile</t>
  </si>
  <si>
    <t>Why Walls Won't Work : Repairing the US-Mexico Divide</t>
  </si>
  <si>
    <t>https://ebookcentral.proquest.com/lib/viva-active/detail.action?docID=1107692</t>
  </si>
  <si>
    <t>Dear, Michael</t>
  </si>
  <si>
    <t>Mexican-American Border Region -- History. ; Borderlands -- Mexico.</t>
  </si>
  <si>
    <t>Workers Go Shopping in Argentina : The Rise of Popular Consumer Culture</t>
  </si>
  <si>
    <t>https://ebookcentral.proquest.com/lib/viva-active/detail.action?docID=1109158</t>
  </si>
  <si>
    <t>Milanesio, Natalia</t>
  </si>
  <si>
    <t>Consumption (Economics) -- Argentina. ; Consumers -- Argentina -- History -- 20th century. ; Working class -- Argentina -- History. ; Argentina -- Economic conditions -- 20th century.</t>
  </si>
  <si>
    <t>Economic Mobility and the Rise of the Latin American Middle Class</t>
  </si>
  <si>
    <t>https://ebookcentral.proquest.com/lib/viva-active/detail.action?docID=1109723</t>
  </si>
  <si>
    <t xml:space="preserve">Ferreira, Francisco H.G.;Messina, Julian;Rigolini, Jamele;Lopez-Calva, Luis Felipe ;Lugo, Maria Ana </t>
  </si>
  <si>
    <t>Households -- Economic aspects -- Latin America. ; Income -- Latin America. ; Middle class -- Latin America. ; Occupational mobility -- Latin America. ; Social mobility -- Latin America. ; Latin America -- Economic conditions.</t>
  </si>
  <si>
    <t>Spaces of Conflict, Sounds of Solidarity : Music, Race, and Spatial Entitlement in Los Angeles</t>
  </si>
  <si>
    <t>https://ebookcentral.proquest.com/lib/viva-active/detail.action?docID=1112137</t>
  </si>
  <si>
    <t>Johnson, Gaye Theresa</t>
  </si>
  <si>
    <t>History; Geography/Travel</t>
  </si>
  <si>
    <t>Community development -- California -- Los Angeles -- History. ; Minorities -- Political activity -- California -- Los Angeles -- History. ; Minorities -- California -- Los Angeles -- Social conditions. ; Popular music -- Social aspects -- California -- Los Angeles. ; Los Angeles (Calif.) -- Race relations -- History. ; Los Angeles (Calif.) -- Social conditions.</t>
  </si>
  <si>
    <t>ZONA NORTE : The Post-Structural Body of Erotic Dancers and Sex Workers in Tijuana, San Diego and Los Angeles</t>
  </si>
  <si>
    <t>https://ebookcentral.proquest.com/lib/viva-active/detail.action?docID=1114355</t>
  </si>
  <si>
    <t>Hemmingson, Michael</t>
  </si>
  <si>
    <t>Prostitution -- California -- San Diego -- Cross-cultural studies. ; Prostitution -- California -- Los Angeles -- Cross-cultural studies. ; Prostitution -- Mexico -- Tijuana (Baja California) -- Cross-cultural studies. ; Self -- Cross-cultural studies. ; Identity (Psychology) -- Cross-cultural studies.</t>
  </si>
  <si>
    <t>Caribbean Sovereignty, Development and Democracy in an Age of Globalization</t>
  </si>
  <si>
    <t>https://ebookcentral.proquest.com/lib/viva-active/detail.action?docID=1114703</t>
  </si>
  <si>
    <t>Lewis, Linden</t>
  </si>
  <si>
    <t>Routledge Advances in International Relations and Global Politics Ser.</t>
  </si>
  <si>
    <t>Democracy -- Caribbean Area. ; Sovereignty. ; Caribbean Area -- Politics and government -- 21st century. ; Caribbean Area -- Economic policy. ; Caribbean Area -- Foreign relations -- 1945-</t>
  </si>
  <si>
    <t>The Routledge Concise History of Latino/a Literature</t>
  </si>
  <si>
    <t>https://ebookcentral.proquest.com/lib/viva-active/detail.action?docID=1114728</t>
  </si>
  <si>
    <t>Aldama, Frederick Luis</t>
  </si>
  <si>
    <t>Routledge Concise Histories of Literature Ser.</t>
  </si>
  <si>
    <t>American literature - Hispanic American authors - History and criticism</t>
  </si>
  <si>
    <t>Engineers and Communities : Transforming Sanitation in Contemporary Brazil</t>
  </si>
  <si>
    <t>https://ebookcentral.proquest.com/lib/viva-active/detail.action?docID=1117153</t>
  </si>
  <si>
    <t>Nance, Earthea</t>
  </si>
  <si>
    <t>Environmental Studies; Engineering: Environmental; Engineering</t>
  </si>
  <si>
    <t>Sanitation - Brazil - History</t>
  </si>
  <si>
    <t>La Clinica : A Doctor's Journey Across Borders</t>
  </si>
  <si>
    <t>https://ebookcentral.proquest.com/lib/viva-active/detail.action?docID=1118938</t>
  </si>
  <si>
    <t>Sklar, David P.</t>
  </si>
  <si>
    <t>Literature and Medicine Ser.</t>
  </si>
  <si>
    <t>Control theory -- Congresses. ; Mathematical optimization -- Congresses. ; Automatic control -- Congresses.</t>
  </si>
  <si>
    <t>History of Mining in Latin America : From the Colonial Era to the Present</t>
  </si>
  <si>
    <t>https://ebookcentral.proquest.com/lib/viva-active/detail.action?docID=1118944</t>
  </si>
  <si>
    <t>Brown, Kendall;Johnson, Lyman L.</t>
  </si>
  <si>
    <t>Diálogos Series</t>
  </si>
  <si>
    <t>Environmental Studies; Business/Management; Economics</t>
  </si>
  <si>
    <t>Silver mines and mining -- Bolivia -- Potosí -- History. ; Mines and mineral resources -- Latin America -- History.</t>
  </si>
  <si>
    <t>For Every Indio Who Falls : A History of Maya Activism in Guatemala, 1960-1990</t>
  </si>
  <si>
    <t>https://ebookcentral.proquest.com/lib/viva-active/detail.action?docID=1118950</t>
  </si>
  <si>
    <t>Konefal, Betsy</t>
  </si>
  <si>
    <t>Physics. ; Quantum theory.</t>
  </si>
  <si>
    <t>Josefina Niggli, Mexican American Writer : A Critical Biography</t>
  </si>
  <si>
    <t>https://ebookcentral.proquest.com/lib/viva-active/detail.action?docID=1118952</t>
  </si>
  <si>
    <t>Coonrod Martínez, Elizabeth</t>
  </si>
  <si>
    <t>Regression analysis. ; Nonparametric statistics. ; Distribution (Probability theory)</t>
  </si>
  <si>
    <t>Modernizing Minds in El Salvador : Education Reform and the Cold War, 1960-1980</t>
  </si>
  <si>
    <t>https://ebookcentral.proquest.com/lib/viva-active/detail.action?docID=1118955</t>
  </si>
  <si>
    <t xml:space="preserve">Lindo-Fuentes, Héctor;Ching, Erik;Johnson, Lyman L.;Lindo-Fuentes, Haector </t>
  </si>
  <si>
    <t>Television in education -- El Salvador. ; Educational change -- El Salvador. ; Education and state -- El Salvador -- History. ; El Salvador -- History -- 1944-1979.</t>
  </si>
  <si>
    <t>Primitive Revolution : Restorationist Religion and the Idea of the Mexican Revolution, 1940-1968</t>
  </si>
  <si>
    <t>https://ebookcentral.proquest.com/lib/viva-active/detail.action?docID=1118959</t>
  </si>
  <si>
    <t>Dormady, Jason</t>
  </si>
  <si>
    <t>Real-time data processing. ; Mechatronics -- Data processing.</t>
  </si>
  <si>
    <t>Limits of Gender Domination : Women, the Law, and Political Crisis in Quito, 1765-1830</t>
  </si>
  <si>
    <t>https://ebookcentral.proquest.com/lib/viva-active/detail.action?docID=1118964</t>
  </si>
  <si>
    <t>Black, Chad</t>
  </si>
  <si>
    <t>Electrochemistry. ; Electrochemical analysis.</t>
  </si>
  <si>
    <t>Society of Equality : Popular Republicanism and Democracy in Santiago de Chile, 1818-1851</t>
  </si>
  <si>
    <t>https://ebookcentral.proquest.com/lib/viva-active/detail.action?docID=1118966</t>
  </si>
  <si>
    <t>Wood, James</t>
  </si>
  <si>
    <t>Environmental engineering -- Decision making. ; Environmental ethics. ; Environmental policy -- Decision making. ; Environmental policy -- Moral and ethical aspects.</t>
  </si>
  <si>
    <t>Very Nature of God : Baroque Catholicism and Religious Reform in Bourbon Mexico City</t>
  </si>
  <si>
    <t>https://ebookcentral.proquest.com/lib/viva-active/detail.action?docID=1118967</t>
  </si>
  <si>
    <t>Larkin, Brian</t>
  </si>
  <si>
    <t>Tinbergen, Niko, -- 1907-1988 -- Congresses. ; Animal behavior -- Congresses. ; Animal behavior -- Research -- Congresses. ; Ethologists -- England -- Biography -- Congresses. ; Ethologists -- Netherlands -- Biography -- Congresses.</t>
  </si>
  <si>
    <t>Will to Heal : Psychological Recovery in the Novels of Latina Writers</t>
  </si>
  <si>
    <t>https://ebookcentral.proquest.com/lib/viva-active/detail.action?docID=1118968</t>
  </si>
  <si>
    <t>Fahey, Felicia</t>
  </si>
  <si>
    <t>DNA microarrays -- Data processing -- Congresses. ; DNA microarrays.</t>
  </si>
  <si>
    <t>Untold Sisters : Hispanic Nuns in Their Own Works, Revised edition</t>
  </si>
  <si>
    <t>https://ebookcentral.proquest.com/lib/viva-active/detail.action?docID=1118971</t>
  </si>
  <si>
    <t>Arenal, Electa;Schlau, Stacey;Powell, Amanda</t>
  </si>
  <si>
    <t>Neem insecticide. ; Neem.</t>
  </si>
  <si>
    <t>Discarded Pages : Araceli Cab Cumí, Maya Poet and Politician</t>
  </si>
  <si>
    <t>https://ebookcentral.proquest.com/lib/viva-active/detail.action?docID=1118982</t>
  </si>
  <si>
    <t>Martin, Kathleen</t>
  </si>
  <si>
    <t>Truesdell, C. -- (Clifford), -- 1919-2000. ; Continuum mechanics.</t>
  </si>
  <si>
    <t>From the Barrio to Washington : An Educator's Journey</t>
  </si>
  <si>
    <t>https://ebookcentral.proquest.com/lib/viva-active/detail.action?docID=1118984</t>
  </si>
  <si>
    <t>Taylor, Keith;Rodriguez, Armando;Van Deerlin, Lionel</t>
  </si>
  <si>
    <t>Complement (Immunology) ; Immunity.</t>
  </si>
  <si>
    <t>Juan Domínguez de Mendoza : Soldier and Frontiersman of the Spanish Southwest, 1627-1693</t>
  </si>
  <si>
    <t>https://ebookcentral.proquest.com/lib/viva-active/detail.action?docID=1118992</t>
  </si>
  <si>
    <t xml:space="preserve">Simmons, Marc;Esquibel, José;Scholes, France;Adams, Eleanor B. </t>
  </si>
  <si>
    <t>Domínguez de Mendoza, Juan, -- 1627-1693. ; Spaniards -- New Mexico -- History -- 17th century -- Sources. ; Pueblo Indians -- New Mexico -- History -- 17th century -- Sources. ; Pueblo Revolt, 1680 -- Sources. ; New Mexico -- History -- To 1848 -- Sources.</t>
  </si>
  <si>
    <t>La Sociedad : Guardians of Hispanic Culture Along the Río Grande</t>
  </si>
  <si>
    <t>https://ebookcentral.proquest.com/lib/viva-active/detail.action?docID=1118993</t>
  </si>
  <si>
    <t>Rivera, José A.;Salazar, Daniel</t>
  </si>
  <si>
    <t>Medicine -- Philosophy -- Congresses. ; Medical ethics -- Congresses. ; Bioethics -- Congresses.</t>
  </si>
  <si>
    <t>Marvels and Miracles in Late Colonial Mexico : Three Texts in Context</t>
  </si>
  <si>
    <t>https://ebookcentral.proquest.com/lib/viva-active/detail.action?docID=1118999</t>
  </si>
  <si>
    <t>Taylor, William B.;Long, Charles;Carrasco, Davíd</t>
  </si>
  <si>
    <t>Religions of the Americas Ser.</t>
  </si>
  <si>
    <t>Miracles -- Mexico -- Early works to 1800. ; Mexico -- Church history -- 18th century -- Sources.</t>
  </si>
  <si>
    <t>Secret Wars and Secret Policies in the Americas, 1842-1929</t>
  </si>
  <si>
    <t>https://ebookcentral.proquest.com/lib/viva-active/detail.action?docID=1119013</t>
  </si>
  <si>
    <t>Schuler, Friedrich E.</t>
  </si>
  <si>
    <t>Lymphatic metastasis -- Diagnosis -- Atlases. ; Lymph nodes -- Dissection -- Atlases. ; Melanoma -- Atlases. ; Breast -- Cancer -- Atlases. ; Colon (Anatomy) -- Cancer -- Atlases. ; Tumors -- Classification -- Atlases.</t>
  </si>
  <si>
    <t>Shrines and Miraculous Images : Religious Life In Mexico Before the Reforma</t>
  </si>
  <si>
    <t>https://ebookcentral.proquest.com/lib/viva-active/detail.action?docID=1119014</t>
  </si>
  <si>
    <t>Taylor, William B.</t>
  </si>
  <si>
    <t>Catholic Church -- Mexico -- History. ; Christian shrines -- Mexico -- History. ; Mexico -- Religious life and customs.</t>
  </si>
  <si>
    <t>Daring Flight of My Pen : Cultural Politics and Gaspar Pérez de Villagrá's Historia de la Nueva Mexico, 1610</t>
  </si>
  <si>
    <t>https://ebookcentral.proquest.com/lib/viva-active/detail.action?docID=1119024</t>
  </si>
  <si>
    <t>Padilla, Genaro;Herrera-Sobek, María</t>
  </si>
  <si>
    <t>Pasó por Aquí Series on the Nuevomexicano Literary Heritage</t>
  </si>
  <si>
    <t>Nuclear physics. ; Physics.</t>
  </si>
  <si>
    <t>Spanish Colonial Settlement Landscapes of New Mexico, 1598-1680</t>
  </si>
  <si>
    <t>https://ebookcentral.proquest.com/lib/viva-active/detail.action?docID=1119039</t>
  </si>
  <si>
    <t>Barrett, Elinore M.</t>
  </si>
  <si>
    <t>Land settlement -- New Mexico -- History -- 17th century. ; Human geography -- New Mexico. ; Spaniards -- New Mexico -- History -- 17th century. ; New Mexico -- History -- To 1848.</t>
  </si>
  <si>
    <t>Writings of Eusebio Chacón</t>
  </si>
  <si>
    <t>https://ebookcentral.proquest.com/lib/viva-active/detail.action?docID=1119042</t>
  </si>
  <si>
    <t xml:space="preserve">Lomelí, Francisco;Meléndez, A. Gabriel;Lomel, Francisco ;Mel Ndez, A Gabriel </t>
  </si>
  <si>
    <t>Hispanic American literature (Spanish) -- New Mexico. ; Hispanic American literature (Spanish) -- New Mexico -- Translations into English.</t>
  </si>
  <si>
    <t>Negotiated Settlements : Andean Communities and Landscapes under Inka and Spanish Colonialism</t>
  </si>
  <si>
    <t>https://ebookcentral.proquest.com/lib/viva-active/detail.action?docID=1119304</t>
  </si>
  <si>
    <t>Wernke, Steven A.;Gamer, Robert E.</t>
  </si>
  <si>
    <t>Colca Canyon (Peru) - History</t>
  </si>
  <si>
    <t>Chavez's Children : Ideology, Education, and Society in Latin America</t>
  </si>
  <si>
    <t>https://ebookcentral.proquest.com/lib/viva-active/detail.action?docID=1120211</t>
  </si>
  <si>
    <t>Anselmi, Manuel</t>
  </si>
  <si>
    <t>Ideology - Venezuela</t>
  </si>
  <si>
    <t>Power to the Poor : Black-Brown Coalition and the Fight for Economic Justice, 1960-1974</t>
  </si>
  <si>
    <t>https://ebookcentral.proquest.com/lib/viva-active/detail.action?docID=1120505</t>
  </si>
  <si>
    <t>Mantler, Gordon K.</t>
  </si>
  <si>
    <t>Justice, Power, and Politics Ser.</t>
  </si>
  <si>
    <t>Ethnicity - Political aspects - United States - History - 20th century</t>
  </si>
  <si>
    <t>Radical Moves : Caribbean Migrants and the Politics of Race in the Jazz Age</t>
  </si>
  <si>
    <t>https://ebookcentral.proquest.com/lib/viva-active/detail.action?docID=1120513</t>
  </si>
  <si>
    <t>Putnam, Lara</t>
  </si>
  <si>
    <t>Blacks -- West Indies, British -- Migrations -- History -- 20th century. ; West Indians -- Migrations -- History -- 20th century. ; Blacks -- Social conditions -- 20th century. ; West Indians -- Social conditions -- 20th century. ; Blacks -- Politics and government -- 20th century. ; West Indians -- Politics and government -- 20th century. ; Anti-imperialist movements -- History -- 20th century.</t>
  </si>
  <si>
    <t>Fernando Alonso : The Father of Cuban Ballet</t>
  </si>
  <si>
    <t>https://ebookcentral.proquest.com/lib/viva-active/detail.action?docID=1122594</t>
  </si>
  <si>
    <t>Singer, Toba</t>
  </si>
  <si>
    <t>Fine Arts; Sport &amp;amp; Recreation</t>
  </si>
  <si>
    <t>Alonso, Fernando, -- 1914- ; Ballet dancers -- Cuba -- Biography.</t>
  </si>
  <si>
    <t>Democratic Governance in Latin America</t>
  </si>
  <si>
    <t>https://ebookcentral.proquest.com/lib/viva-active/detail.action?docID=1122643</t>
  </si>
  <si>
    <t>Mainwaring, Scott;Scully, Timothy R.</t>
  </si>
  <si>
    <t>Democracy -- Latin America. ; Latin America -- Politics and government -- 1980- ; Latin America -- Economic conditions -- 1982-</t>
  </si>
  <si>
    <t>Latin America's Turbulent Transitions : The Future of Twenty-First Century Socialism</t>
  </si>
  <si>
    <t>https://ebookcentral.proquest.com/lib/viva-active/detail.action?docID=1126847</t>
  </si>
  <si>
    <t xml:space="preserve">Burbach, Roger;Fox, Michael;Fuentes, Federico;Fox, Michael </t>
  </si>
  <si>
    <t>Socialism -- Latin America -- History -- 21st century. ; Latin America -- Politics and government -- 21st century. ; Latin America -- History -- 21st century.</t>
  </si>
  <si>
    <t>Corn Meets Maize : Food Movements and Markets in Mexico</t>
  </si>
  <si>
    <t>https://ebookcentral.proquest.com/lib/viva-active/detail.action?docID=1127718</t>
  </si>
  <si>
    <t>Baker, Lauren E.</t>
  </si>
  <si>
    <t>Corn industry - Mexico</t>
  </si>
  <si>
    <t>Acculturation and Attitudes toward Violence among Latinos</t>
  </si>
  <si>
    <t>https://ebookcentral.proquest.com/lib/viva-active/detail.action?docID=1128631</t>
  </si>
  <si>
    <t>Bratina, Michele P.</t>
  </si>
  <si>
    <t>Criminal Justice: Recent Scholarship</t>
  </si>
  <si>
    <t>Radicalism -- Great Britain -- History -- 17th century. ; Radicalism -- Great Britain -- History -- 18th century. ; Radicalism -- Religious aspects.</t>
  </si>
  <si>
    <t>Seeing in Spanish : From Don Quixote to Daddy Yankee—22 Essays on Hispanic Visual Cultures</t>
  </si>
  <si>
    <t>https://ebookcentral.proquest.com/lib/viva-active/detail.action?docID=1132983</t>
  </si>
  <si>
    <t>Prout, Ryan;Alterberg, Tilmann</t>
  </si>
  <si>
    <t>Arts -- Latin America. ; Arts -- Spain. ; Motion pictures -- Latin America. ; Motion pictures -- Spain.</t>
  </si>
  <si>
    <t>Interpreting the New Milenio</t>
  </si>
  <si>
    <t>https://ebookcentral.proquest.com/lib/viva-active/detail.action?docID=1133016</t>
  </si>
  <si>
    <t>Galisteo, Assistant Editor M. Carmen Gómez;Gurpegui, José Antonio</t>
  </si>
  <si>
    <t>American literature -- Mexican American authors -- History and criticism. ; Mexican Americans in literature. ; Mexican American women in literature. ; Ethnicity in literature. ; Identity (Psychology) in literature. ; Mexican Americans -- Intellectual life.</t>
  </si>
  <si>
    <t>Everlasting Countdowns : Race, Ethnicity and National Censuses in Latin American States</t>
  </si>
  <si>
    <t>https://ebookcentral.proquest.com/lib/viva-active/detail.action?docID=1133037</t>
  </si>
  <si>
    <t>Ferrández, Luis Fernando Angosto;Kradolfer, Sabine</t>
  </si>
  <si>
    <t>Business/Management; Political Science</t>
  </si>
  <si>
    <t>Census. ; Race. ; Indigenous peoples -- Latin America. ; Latin America -- Population. ; Latin America -- Politics and government.</t>
  </si>
  <si>
    <t>The Noughties in the Hispanic and Lusophone World</t>
  </si>
  <si>
    <t>https://ebookcentral.proquest.com/lib/viva-active/detail.action?docID=1133095</t>
  </si>
  <si>
    <t>Bacon, Kathy;Thornton, Niamh</t>
  </si>
  <si>
    <t>Civilization, Hispanic. ; Portuguese-speaking countries. ; Spanish literature -- History and criticism.</t>
  </si>
  <si>
    <t>Outsourcing and Service Work in the New Economy : The Case of Call Centres in Mexico City</t>
  </si>
  <si>
    <t>https://ebookcentral.proquest.com/lib/viva-active/detail.action?docID=1133113</t>
  </si>
  <si>
    <t>Álvarez-Galván, José-Luis</t>
  </si>
  <si>
    <t>Contracting out -- Mexico -- Mexico City. ; Call centers -- Mexico -- Mexico City -- Employees. ; Call centers -- Mexico -- Mexico City -- Personnel management. ; Mexico City (Mexico) -- Commercial policy.</t>
  </si>
  <si>
    <t>Mediating Chicana/o Culture : Multicultural American Vernacular</t>
  </si>
  <si>
    <t>https://ebookcentral.proquest.com/lib/viva-active/detail.action?docID=1133117</t>
  </si>
  <si>
    <t>Baugh, Scott L.</t>
  </si>
  <si>
    <t>Mexican Americans -- Ethnic identity. ; Mexican Americans -- Cultural assimilation. ; Mexican Americans in popular culture.</t>
  </si>
  <si>
    <t>Made in the Margins : Latina/O Constructions of US Religious History</t>
  </si>
  <si>
    <t>https://ebookcentral.proquest.com/lib/viva-active/detail.action?docID=1138632</t>
  </si>
  <si>
    <t>Martínez-Vázquez, Hjamil A.</t>
  </si>
  <si>
    <t>Baylor University Press</t>
  </si>
  <si>
    <t>New Perspectives on Latina/o Religion Ser.</t>
  </si>
  <si>
    <t>Hispanic Americans -- Religion. ; Christianity -- Historiography. ; Church history -- Historiography. ; United States -- Church history.</t>
  </si>
  <si>
    <t>Welfare and Party Politics in Latin America</t>
  </si>
  <si>
    <t>https://ebookcentral.proquest.com/lib/viva-active/detail.action?docID=1139605</t>
  </si>
  <si>
    <t>Pribble, Jennifer</t>
  </si>
  <si>
    <t>Political parties -- Latin America -- History -- 21st century. ; Latin America -- Social conditions -- 21st century. ; Latin America -- Social policy -- 21st century. ; Latin America -- Politics and government -- 21st century.</t>
  </si>
  <si>
    <t>Making Constitutions : Presidents, Parties, and Institutional Choice in Latin America</t>
  </si>
  <si>
    <t>https://ebookcentral.proquest.com/lib/viva-active/detail.action?docID=1139703</t>
  </si>
  <si>
    <t>Negretto, Gabriel L.</t>
  </si>
  <si>
    <t>Representative government and representation -- Latin America -- History -- 20th century. ; Latin America -- Politics and government -- 20th century.</t>
  </si>
  <si>
    <t>Law and the New Developmental State : The Brazilian Experience in Latin American Context</t>
  </si>
  <si>
    <t>https://ebookcentral.proquest.com/lib/viva-active/detail.action?docID=1139724</t>
  </si>
  <si>
    <t>Trubek, David M.;Alviar Garcia, Helena;Coutinho, Diogo R.;Santos, Alvaro</t>
  </si>
  <si>
    <t>Law and economic development. ; Brazil -- Economic policy. ; Latin America -- Economic policy.</t>
  </si>
  <si>
    <t>The Decade of the Multilatinas</t>
  </si>
  <si>
    <t>https://ebookcentral.proquest.com/lib/viva-active/detail.action?docID=1139741</t>
  </si>
  <si>
    <t>Santiso, Javier</t>
  </si>
  <si>
    <t>International business enterprises -- Latin America. ; Investments, Spanish -- Latin America. ; Latin America -- Commerce.</t>
  </si>
  <si>
    <t>Routledge Handbook of Latin American Politics</t>
  </si>
  <si>
    <t>https://ebookcentral.proquest.com/lib/viva-active/detail.action?docID=1143667</t>
  </si>
  <si>
    <t>Kingstone, Peter;Yashar, Deborah J.</t>
  </si>
  <si>
    <t>Latin America - Foreign relations - 1980-</t>
  </si>
  <si>
    <t>The Impact of the IIRSA Road Infrastructure Programme on Amazonia</t>
  </si>
  <si>
    <t>https://ebookcentral.proquest.com/lib/viva-active/detail.action?docID=1143753</t>
  </si>
  <si>
    <t>van Dijck, Pitou</t>
  </si>
  <si>
    <t>Roads - Amazon River Region - Design and construction</t>
  </si>
  <si>
    <t>Latin American Identity in Online Cultural Production</t>
  </si>
  <si>
    <t>https://ebookcentral.proquest.com/lib/viva-active/detail.action?docID=1143878</t>
  </si>
  <si>
    <t>Taylor, Claire;Pitman, Thea</t>
  </si>
  <si>
    <t>Routledge Studies in New Media and Cyberculture Ser.</t>
  </si>
  <si>
    <t>Engineering: General; Social Science; Engineering; Computer Science/IT</t>
  </si>
  <si>
    <t>Information technology -- Latin America. ; Digital media -- Latin America.</t>
  </si>
  <si>
    <t>No Mere Shadows : Faces of Widowhood in Early Colonial Mexico</t>
  </si>
  <si>
    <t>https://ebookcentral.proquest.com/lib/viva-active/detail.action?docID=1144957</t>
  </si>
  <si>
    <t>Flint, Shirley Cushing</t>
  </si>
  <si>
    <t>Widows -- Mexico -- Social conditions -- 16th century. ; Widows -- Mexico -- Economic conditions -- 16th century. ; Married women -- Mexico -- Social conditions -- 16th century. ; Mexico -- Social conditions -- To 1810.</t>
  </si>
  <si>
    <t>Zapotecs on the Move : Cultural, Social, and Political Processes in Transnational Perspective</t>
  </si>
  <si>
    <t>https://ebookcentral.proquest.com/lib/viva-active/detail.action?docID=1154058</t>
  </si>
  <si>
    <t>Cruz-Manjarrez, Adriana</t>
  </si>
  <si>
    <t>Zapotec Indians - Mexico - Hidalgo Yalaalag -</t>
  </si>
  <si>
    <t>Sustainable Development in Amazonia : Paradise in the Making</t>
  </si>
  <si>
    <t>https://ebookcentral.proquest.com/lib/viva-active/detail.action?docID=1154298</t>
  </si>
  <si>
    <t>Otsuki, Kei</t>
  </si>
  <si>
    <t>Routledge Studies in Sustainable Development Ser.</t>
  </si>
  <si>
    <t>Sustainable development -- Amazon River Region. ; Sustainable forestry -- Amazon River Region.</t>
  </si>
  <si>
    <t>The Geography of Central America and Mexico : A Scholarly Guide and Bibliography</t>
  </si>
  <si>
    <t>https://ebookcentral.proquest.com/lib/viva-active/detail.action?docID=1157592</t>
  </si>
  <si>
    <t>Rumney, Thomas A.</t>
  </si>
  <si>
    <t>Geography</t>
  </si>
  <si>
    <t>History; General Works/Reference</t>
  </si>
  <si>
    <t>Central America - Geography</t>
  </si>
  <si>
    <t>Capital Fictions : The Literature of Latin America's Export Age</t>
  </si>
  <si>
    <t>https://ebookcentral.proquest.com/lib/viva-active/detail.action?docID=1158420</t>
  </si>
  <si>
    <t>Beckman, Ericka</t>
  </si>
  <si>
    <t>Latin American fiction -- History and criticism. ; Economics and literature -- Latin America.</t>
  </si>
  <si>
    <t>The Latino Threat : Constructing Immigrants, Citizens, and the Nation, Second Edition</t>
  </si>
  <si>
    <t>https://ebookcentral.proquest.com/lib/viva-active/detail.action?docID=1162035</t>
  </si>
  <si>
    <t>Chavez, Leo</t>
  </si>
  <si>
    <t>Social Science; Journalism</t>
  </si>
  <si>
    <t>Hispanic Americans -- Press coverage -- United States. ; Mexican Americans -- Press coverage -- United States. ; Immigrants -- Civil rights -- United States. ; Citizenship -- United States. ; Emigration and immigration law -- United States. ; Prejudices in the press -- United States. ; United States -- Emigration and immigration.</t>
  </si>
  <si>
    <t>The Power of Latino Leadership : Culture, Inclusion, and Contribution</t>
  </si>
  <si>
    <t>https://ebookcentral.proquest.com/lib/viva-active/detail.action?docID=1163687</t>
  </si>
  <si>
    <t>Bordas, Juana</t>
  </si>
  <si>
    <t>Berrett-Koehler Publishers, Incorporated</t>
  </si>
  <si>
    <t>Hispanic Americans. ; Leadership.</t>
  </si>
  <si>
    <t>Two Nations Indivisible : Mexico, the United States, and the Road Ahead</t>
  </si>
  <si>
    <t>https://ebookcentral.proquest.com/lib/viva-active/detail.action?docID=1164114</t>
  </si>
  <si>
    <t>O'Neil, Shannon K.</t>
  </si>
  <si>
    <t>International relations. ; United States -- Foreign relations -- Mexico. ; Mexico -- Foreign relations -- United States.</t>
  </si>
  <si>
    <t>Forgotten Dead : Mob Violence Against Mexicans in the United States, 1848-1928</t>
  </si>
  <si>
    <t>https://ebookcentral.proquest.com/lib/viva-active/detail.action?docID=1164135</t>
  </si>
  <si>
    <t>Carrigan, William D.;Webb, Clive</t>
  </si>
  <si>
    <t>Lynching -- United States -- History -- 19th century. ; Lynching -- United States -- History -- 20th century. ; Mexican Americans -- Violence against -- History -- 19th century. ; Mexican Americans -- Violence against -- History -- 20th century. ; Mobs -- United States -- History -- 19th century. ; Mobs -- United States -- History -- 20th century. ; United States -- Race relations -- History -- 19th century.</t>
  </si>
  <si>
    <t>Transcultural Encounters amongst Women : Redrawing Boundaries in Hispanic and Lusophone Art, Literature and Film</t>
  </si>
  <si>
    <t>https://ebookcentral.proquest.com/lib/viva-active/detail.action?docID=1165671</t>
  </si>
  <si>
    <t>O’Byrne, Patricia;Carty,  Gabrielle;Thornton, Niamh</t>
  </si>
  <si>
    <t>Latin American literature -- Women authors -- History and criticism. ; Spanish literature -- Women authors -- History and criticism. ; Portuguese literature -- Women authors -- History and criticism. ; Women motion picture producers and directors -- Spain. ; Women motion picture producers and directors -- Latin America. ; Women motion picture producers and directors -- Portuguese-speaking countries. ; Women artists -- Spain.</t>
  </si>
  <si>
    <t>The Human Tradition in Colonial Latin America</t>
  </si>
  <si>
    <t>https://ebookcentral.proquest.com/lib/viva-active/detail.action?docID=1168091</t>
  </si>
  <si>
    <t>Andrien, Kenneth J.</t>
  </si>
  <si>
    <t>The Human Tradition around the World series</t>
  </si>
  <si>
    <t>Social conflict - Latin America - History</t>
  </si>
  <si>
    <t>Latin American Development</t>
  </si>
  <si>
    <t>https://ebookcentral.proquest.com/lib/viva-active/detail.action?docID=1170334</t>
  </si>
  <si>
    <t>Cupples, Julie</t>
  </si>
  <si>
    <t>Routledge Perspectives on Development Ser.</t>
  </si>
  <si>
    <t>Latin America - Social conditions - 21st century</t>
  </si>
  <si>
    <t>The Long, Lingering Shadow : Slavery, Race, and Law in the American Hemisphere</t>
  </si>
  <si>
    <t>https://ebookcentral.proquest.com/lib/viva-active/detail.action?docID=1172650</t>
  </si>
  <si>
    <t>Cottrol, Robert J.;Finkelman, Paul;Huebner, Timothy S.</t>
  </si>
  <si>
    <t>University of Georgia Press</t>
  </si>
  <si>
    <t>Studies in the Legal History of the South</t>
  </si>
  <si>
    <t>Slavery -- Law and legislation -- America. ; Slavery -- Law and legislation -- Western Hemisphere. ; Blacks -- Legal status, laws, etc. -- Western Hemisphere. ; Slavery -- History -- Western Hemisphere. ; Race relations -- History -- Western Hemisphere.</t>
  </si>
  <si>
    <t>Internal Game Theory</t>
  </si>
  <si>
    <t>https://ebookcentral.proquest.com/lib/viva-active/detail.action?docID=1172882</t>
  </si>
  <si>
    <t>Patokos, Tassos;Kliebard, Herbert M.</t>
  </si>
  <si>
    <t>Business/Management; Psychology</t>
  </si>
  <si>
    <t>Game theory -- Psychological aspects. ; Internalization.</t>
  </si>
  <si>
    <t>Migration-Trust Networks : Social Cohesion in Mexican US-Bound Emigration</t>
  </si>
  <si>
    <t>https://ebookcentral.proquest.com/lib/viva-active/detail.action?docID=1180190</t>
  </si>
  <si>
    <t>Flores-Yeffal, Nadia Yamel</t>
  </si>
  <si>
    <t>Immigrants -- Social networks -- United States. ; Mexicans -- Social networks -- United States. ; United States -- Emigration and immigration -- Social aspects. ; Mexico -- Emigration and immigration -- Social aspects.</t>
  </si>
  <si>
    <t>Literacy and Numeracy in Latin America : Local Perspectives and Beyond</t>
  </si>
  <si>
    <t>https://ebookcentral.proquest.com/lib/viva-active/detail.action?docID=1181118</t>
  </si>
  <si>
    <t>Kalman, Judy;Street, Brian V.</t>
  </si>
  <si>
    <t>Numeracy - Latin America</t>
  </si>
  <si>
    <t>Latinos in the Legislative Process : Interests and Influence</t>
  </si>
  <si>
    <t>https://ebookcentral.proquest.com/lib/viva-active/detail.action?docID=1182969</t>
  </si>
  <si>
    <t>Rouse, Stella M.</t>
  </si>
  <si>
    <t>Hispanic Americans -- Politics and government. ; Legislation -- United States. ; Pressure groups -- United States. ; Ethnic groups -- United States.</t>
  </si>
  <si>
    <t>Constitutionalism of the Global South : The Activist Tribunals of India, South Africa, and Colombia</t>
  </si>
  <si>
    <t>https://ebookcentral.proquest.com/lib/viva-active/detail.action?docID=1182988</t>
  </si>
  <si>
    <t>Bonilla Maldonado, Daniel</t>
  </si>
  <si>
    <t>Political questions and judicial power -- South Africa. ; Political questions and judicial power -- India. ; Political questions and judicial power -- Colombia.</t>
  </si>
  <si>
    <t>Bolivia : Processes of Change</t>
  </si>
  <si>
    <t>https://ebookcentral.proquest.com/lib/viva-active/detail.action?docID=1183073</t>
  </si>
  <si>
    <t>Crabtree, John;Chaplin, Ann</t>
  </si>
  <si>
    <t>Political Science; Environmental Studies</t>
  </si>
  <si>
    <t>Urban geography -- Bolivia. ; Urbanization -- Bolivia. ; Bolivia -- History.</t>
  </si>
  <si>
    <t>Fresh Fruit, Broken Bodies : Migrant Farmworkers in the United States</t>
  </si>
  <si>
    <t>https://ebookcentral.proquest.com/lib/viva-active/detail.action?docID=1184054</t>
  </si>
  <si>
    <t xml:space="preserve">Holmes, Seth;Bourgois, Philippe </t>
  </si>
  <si>
    <t>California Series in Public Anthropology Ser.</t>
  </si>
  <si>
    <t>Migrant agricultural laborers -- United States -- Social conditions.</t>
  </si>
  <si>
    <t>Working Women, Entrepreneurs, and the Mexican Revolution : The Coffee Culture of Córdoba, Veracruz</t>
  </si>
  <si>
    <t>https://ebookcentral.proquest.com/lib/viva-active/detail.action?docID=1186843</t>
  </si>
  <si>
    <t>Fowler-Salamini, Heather</t>
  </si>
  <si>
    <t>Women coffee industry employees -- Mexico -- Córdoba (Veracruz-Llave) -- History -- 20th century. ; Coffee industry -- Mexico -- Córdoba (Veracruz-Llave) -- History -- 20th century. ; Córdoba (Veracruz-Llave) -- Economic conditions -- 20th century. ; Córdoba (Veracruz-Llave) -- Social conditions -- 20th century.</t>
  </si>
  <si>
    <t>Conflict and Conversion in Sixteenth Century Central Mexico : The Augustinian War on and Beyond the Chichimeca Frontier</t>
  </si>
  <si>
    <t>https://ebookcentral.proquest.com/lib/viva-active/detail.action?docID=1187228</t>
  </si>
  <si>
    <t>Jackson, Robert H.</t>
  </si>
  <si>
    <t>European Expansion and Indigenous Response Ser.</t>
  </si>
  <si>
    <t>Augustinians -- Missions -- Mexico -- History -- 16th century. ; Chichimecs -- Wars, 1550-1591. ; Chichimecs -- Missions -- History -- 16th century. ; Chichimecs -- Social conditions. ; Mexico -- History -- Spanish colony, 1540-1810.</t>
  </si>
  <si>
    <t>Catalonia Since the Spanish Civil War : Reconstructing the Nation</t>
  </si>
  <si>
    <t>https://ebookcentral.proquest.com/lib/viva-active/detail.action?docID=1188308</t>
  </si>
  <si>
    <t>Dowling, Andrew</t>
  </si>
  <si>
    <t>Sussex Academic Press</t>
  </si>
  <si>
    <t>The Canada Blanch/Sussex Academic Studie</t>
  </si>
  <si>
    <t>Catalonia -- Politics and government -- 20th century. ; Catalonia -- Politics and government -- 21st century.</t>
  </si>
  <si>
    <t>Days of National Festivity in Rio de Janeiro, Brazil, 1823-1889</t>
  </si>
  <si>
    <t>https://ebookcentral.proquest.com/lib/viva-active/detail.action?docID=1191535</t>
  </si>
  <si>
    <t>Kraay, Hendrik</t>
  </si>
  <si>
    <t>Festivals -- Political aspects -- Brazil -- Rio de Janeiro -- History -- 19th century. ; Holidays -- Brazil -- History -- 19th century. ; Political customs and rites -- Brazil -- Rio de Janeiro -- History -- 19th century. ; Brazil -- Anniversaries, etc. -- Political aspects -- History -- 19th century. ; Brazil -- Politics and government -- 1822-1889.</t>
  </si>
  <si>
    <t>Of Medicines and Markets : Intellectual Property and Human Rights in the Free Trade Era</t>
  </si>
  <si>
    <t>https://ebookcentral.proquest.com/lib/viva-active/detail.action?docID=1191536</t>
  </si>
  <si>
    <t>Godoy, Angelina Snodgrass</t>
  </si>
  <si>
    <t>Health; Economics; Social Science; Business/Management</t>
  </si>
  <si>
    <t>Drug accessibility -- Central America. ; Drugs -- Patents. ; Free trade -- Central America. ; Human rights -- Central America. ; Intellectual property -- Central America. ; Pharmaceutical policy -- Central America. ; Right to health -- Central America.</t>
  </si>
  <si>
    <t>Neoliberalism, Interrupted : Social Change and Contested Governance in Contemporary Latin America</t>
  </si>
  <si>
    <t>https://ebookcentral.proquest.com/lib/viva-active/detail.action?docID=1191608</t>
  </si>
  <si>
    <t>Goodale, Mark;Postero, Nancy</t>
  </si>
  <si>
    <t>Neoliberalism -- Latin America. ; Social change -- Latin America. ; Latin America -- Politics and government -- 1980- ; Latin America -- Social conditions -- 1982- ; Latin America -- Economic policy.</t>
  </si>
  <si>
    <t>Chicana/o Struggles for Education : Activism in the Community</t>
  </si>
  <si>
    <t>https://ebookcentral.proquest.com/lib/viva-active/detail.action?docID=1192954</t>
  </si>
  <si>
    <t>San Miguel, Guadalupe</t>
  </si>
  <si>
    <t>University of Houston Series in Mexican American Studies, Sponsored by the Cente</t>
  </si>
  <si>
    <t>Chicano movement -- United States -- History. ; Discrimination in education -- United States -- History -- 20th century. ; Education, Bilingual -- United States -- History -- 20th century. ; Educational equalization -- United States -- History -- 20th century. ; Mexican American teachers -- United States -- Political activity -- 20th century. ; Mexican Americans -- Education -- History -- 20th century. ; Mexican Americans -- Social conditions -- 20th century.</t>
  </si>
  <si>
    <t>The Borderlands of Education : Latinas in Engineering</t>
  </si>
  <si>
    <t>https://ebookcentral.proquest.com/lib/viva-active/detail.action?docID=1203872</t>
  </si>
  <si>
    <t>Camacho, Michelle Madsen;Lord, Susan M.</t>
  </si>
  <si>
    <t>Social Science; Engineering; Engineering: Civil</t>
  </si>
  <si>
    <t>Hispanic American women - Education (Higher) - United States</t>
  </si>
  <si>
    <t>Cuban Economists on the Cuban Economy</t>
  </si>
  <si>
    <t>https://ebookcentral.proquest.com/lib/viva-active/detail.action?docID=1207188</t>
  </si>
  <si>
    <t>Campbell, Al</t>
  </si>
  <si>
    <t>Contemporary Cuba Ser.</t>
  </si>
  <si>
    <t>Cuba - Economic policy</t>
  </si>
  <si>
    <t>Postnational Musical Identities : Cultural Production, Distribution, and Consumption in a Globalized Scenario</t>
  </si>
  <si>
    <t>https://ebookcentral.proquest.com/lib/viva-active/detail.action?docID=1207405</t>
  </si>
  <si>
    <t>Corona, Ignacio;Madrid, Alejandro L.;Ashby, Arved;Dennis, Chris;Knights, Vanessa;Lopes, Denilson;Loza, Steven;Magaldi, Cristina;Party, Daniel;Schelonka, Greg</t>
  </si>
  <si>
    <t>Music and globalization</t>
  </si>
  <si>
    <t>New World Literacy : Writing and Culture Across the Atlantic, 1500-1700</t>
  </si>
  <si>
    <t>https://ebookcentral.proquest.com/lib/viva-active/detail.action?docID=1207447</t>
  </si>
  <si>
    <t>González Sánchez, Carlos Alberto</t>
  </si>
  <si>
    <t>Literature; General Works/Reference</t>
  </si>
  <si>
    <t>Latin America - Intellectual life - 17th century</t>
  </si>
  <si>
    <t>Lula, the Workers' Party and the Governability Dilemma in Brazil</t>
  </si>
  <si>
    <t>https://ebookcentral.proquest.com/lib/viva-active/detail.action?docID=1207527</t>
  </si>
  <si>
    <t>Gómez Bruera, Hernán F.;Gómez Bruera, Hernán F.</t>
  </si>
  <si>
    <t>Lula, -- 1945- ; Partido dos Trabalhadores (Brazil) ; Brazil -- Politics and government. ; Brazil -- Economic conditions. ; Brazil -- Social conditions. ; Brazil -- Foreign relations.</t>
  </si>
  <si>
    <t>Latin American Modern Architectures : Ambiguous Territories</t>
  </si>
  <si>
    <t>https://ebookcentral.proquest.com/lib/viva-active/detail.action?docID=1209532</t>
  </si>
  <si>
    <t>Gyger, Helen;del Real, Patricio</t>
  </si>
  <si>
    <t>Architecture</t>
  </si>
  <si>
    <t>Architecture -- Latin America -- History -- 20th century.</t>
  </si>
  <si>
    <t>Rebel Mexico : Student Unrest and Authoritarian Political Culture During the Long Sixties</t>
  </si>
  <si>
    <t>https://ebookcentral.proquest.com/lib/viva-active/detail.action?docID=1210894</t>
  </si>
  <si>
    <t>Pensado, Jaime M.</t>
  </si>
  <si>
    <t>Students -- Political activity -- Mexico -- History -- 20th century. ; Student movements -- Mexico -- History -- 20th century. ; Political culture -- Mexico -- History -- 20th century. ; Mexico -- Politics and government -- 1946-1970.</t>
  </si>
  <si>
    <t>State Terrorism in Latin America : Chile, Argentina, and International Human Rights</t>
  </si>
  <si>
    <t>https://ebookcentral.proquest.com/lib/viva-active/detail.action?docID=1211193</t>
  </si>
  <si>
    <t>Wright, Thomas C.</t>
  </si>
  <si>
    <t>State-sponsored terrorism - Argentina</t>
  </si>
  <si>
    <t>Global Perspectives on Prostitution and Sex Trafficking : Europe, Latin America, North America, and Global</t>
  </si>
  <si>
    <t>https://ebookcentral.proquest.com/lib/viva-active/detail.action?docID=1211680</t>
  </si>
  <si>
    <t>Dalla, Rochelle L.;Baker, Lynda M.;Defrain, John;Williamson, Celia;Acharya, Arun Kumar;Brooks-Gordon, Belinda;Carey, Christopher;Cerqueira-Santos, Elder;Dank, Meredith;Esteinou, Rosario</t>
  </si>
  <si>
    <t>Human trafficking</t>
  </si>
  <si>
    <t>Dilogos Series : Course of Andean History</t>
  </si>
  <si>
    <t>https://ebookcentral.proquest.com/lib/viva-active/detail.action?docID=1213834</t>
  </si>
  <si>
    <t>Henderson, Peter V. N.</t>
  </si>
  <si>
    <t>Mental health counseling. ; Group counseling. ; Small groups. ; Life skills -- Study and teaching.</t>
  </si>
  <si>
    <t>Caribbean Geography : A Scholarly Bibliography</t>
  </si>
  <si>
    <t>https://ebookcentral.proquest.com/lib/viva-active/detail.action?docID=1213911</t>
  </si>
  <si>
    <t>Caribbean Area - Geography</t>
  </si>
  <si>
    <t>The End of Nostalgia : Mexico Confronts the Challenges of Global Competition</t>
  </si>
  <si>
    <t>https://ebookcentral.proquest.com/lib/viva-active/detail.action?docID=1213934</t>
  </si>
  <si>
    <t>Negroponte, Diana Villiers</t>
  </si>
  <si>
    <t>Globalization -- Mexico. ; Mexico -- Economic policy -- 21st century. ; Mexico -- Economic conditions -- 21st century. ; Mexico -- Politics and government -- 2000-</t>
  </si>
  <si>
    <t>Telling Border Life Stories : Four Mexican American Women Writers</t>
  </si>
  <si>
    <t>https://ebookcentral.proquest.com/lib/viva-active/detail.action?docID=1213996</t>
  </si>
  <si>
    <t>Kabalen de Bichara, Donna M</t>
  </si>
  <si>
    <t>Rio Grande/Río Bravo:  Borderlands Culture and Traditions</t>
  </si>
  <si>
    <t>Mireles, Jovita González, -- 1904-1983. -- Dew on the thorn. ; Jaramillo, Cleofas M. -- Romance of a little village girl. ; Wilbur-Cruce, Eva Antonia. -- Beautiful, cruel country. ; Ponce, Mary Helen. -- Hoyt Street. ; American prose literature -- Women authors -- History and criticism. ; Autobiography -- Women authors -- History and criticism. ; American fiction -- Mexican American authors -- History and criticism.</t>
  </si>
  <si>
    <t>Minerals, Collecting, and Value Across the US-Mexico Border : Minerals, Collecting, and Value Across the Us-Mexico Border</t>
  </si>
  <si>
    <t>https://ebookcentral.proquest.com/lib/viva-active/detail.action?docID=1214501</t>
  </si>
  <si>
    <t>Ferry, Elizabeth Emma</t>
  </si>
  <si>
    <t>Tracking Globalization Ser.</t>
  </si>
  <si>
    <t>Business/Management; Science; Science: Geology</t>
  </si>
  <si>
    <t>Rock collectors</t>
  </si>
  <si>
    <t>Global Perspectives on Prostitution and Sex Trafficking : Africa, Asia, Middle East, and Oceania</t>
  </si>
  <si>
    <t>https://ebookcentral.proquest.com/lib/viva-active/detail.action?docID=1214589</t>
  </si>
  <si>
    <t>Dalla;Defrain;Baker;Williamson, Celia;Abuya, Benta A.;Carey, Christopher;Chaikin, Rita;Crofts, Penny;Dasgupta, Shamita Das;Farao, Eileen</t>
  </si>
  <si>
    <t>Maximino Avila Camacho and the One-Party State : The Taming of Caudillismo and Caciquismo in Post-Revolutionary Mexico</t>
  </si>
  <si>
    <t>https://ebookcentral.proquest.com/lib/viva-active/detail.action?docID=1215486</t>
  </si>
  <si>
    <t>Quintana, Alejandro</t>
  </si>
  <si>
    <t>Political corruption - Mexico - History</t>
  </si>
  <si>
    <t>Gender Justice and Legal Pluralities : Latin American and African Perspectives</t>
  </si>
  <si>
    <t>https://ebookcentral.proquest.com/lib/viva-active/detail.action?docID=1222724</t>
  </si>
  <si>
    <t>Sieder, Rachel;McNeish, John-Andrew</t>
  </si>
  <si>
    <t>Law, Development and Globalization Ser.</t>
  </si>
  <si>
    <t>Legal polycentricity - Africa</t>
  </si>
  <si>
    <t>The World Turned Upside Down : The Complex Partnership Between China and Latin America</t>
  </si>
  <si>
    <t>https://ebookcentral.proquest.com/lib/viva-active/detail.action?docID=1223557</t>
  </si>
  <si>
    <t>Hardy, Alfredo Toro</t>
  </si>
  <si>
    <t>World Scientific Publishing Co Pte Ltd</t>
  </si>
  <si>
    <t>Systems Research Series</t>
  </si>
  <si>
    <t>China -- Foreign economic relations -- Latin America. ; Latin America -- Foreign economic relations -- China.</t>
  </si>
  <si>
    <t>Staying Afloat : Risk and Uncertainty in Spanish Atlantic World Trade, 1760-1820</t>
  </si>
  <si>
    <t>https://ebookcentral.proquest.com/lib/viva-active/detail.action?docID=1225632</t>
  </si>
  <si>
    <t>Baskes, Jeremy</t>
  </si>
  <si>
    <t>Risk management -- Spain -- History. ; Merchant marine -- Spain -- History. ; Marine insurance -- Spain -- History. ; Spain -- Colonies -- America -- History. ; Spain -- Commerce -- America -- History. ; America -- Commerce -- Spain -- History.</t>
  </si>
  <si>
    <t>University Expansion in a Changing Global Economy : Triumph of the BRICs?</t>
  </si>
  <si>
    <t>https://ebookcentral.proquest.com/lib/viva-active/detail.action?docID=1225638</t>
  </si>
  <si>
    <t>Carnoy, Martin;Loyalka, Prashant;Dobryakova, Maria;Dossani, Rafiq ;Froumin, Isak ;Kuhns, Katherine ;Tilak, Jandhyala;Wang, Rong ;Jandhyala, Katherine</t>
  </si>
  <si>
    <t>Education, Higher -- BRIC countries. ; Higher education and state -- BRIC countries. ; Comparative education.</t>
  </si>
  <si>
    <t>Counter-Globalization and Socialism in the 21st Century : The Bolivarian Alliance for the Peoples of Our America</t>
  </si>
  <si>
    <t>https://ebookcentral.proquest.com/lib/viva-active/detail.action?docID=1244909</t>
  </si>
  <si>
    <t>Muhr, Thomas</t>
  </si>
  <si>
    <t>Rethinking Globalizations Ser.</t>
  </si>
  <si>
    <t>South America -- Economic policy -- 21st century. ; South America -- Politics and government -- 21st century.</t>
  </si>
  <si>
    <t>The Mexican Revolution : Conflict and Consolidation, 1910-1940</t>
  </si>
  <si>
    <t>https://ebookcentral.proquest.com/lib/viva-active/detail.action?docID=1250677</t>
  </si>
  <si>
    <t>Richmond, Douglas W.;Haynes, Sam W.;Hart, John Mason;Villanueva, Nicholas;Coerver, Don M.;González-Quiroga, Miguel Ángel;Hall, Linda B.;Balderrama, Francisco E.;Buchenau, Jürgen;Stephen, Lewis E.</t>
  </si>
  <si>
    <t>Walter Prescott Webb Memorial Lectures, published for the University of Texas at Arlington by Texas A&amp;M University Press</t>
  </si>
  <si>
    <t>Mexican-American Border Region - Ethnic relations - Political aspects - History - 20th century</t>
  </si>
  <si>
    <t>A Political History of Spanish : The Making of a Language</t>
  </si>
  <si>
    <t>https://ebookcentral.proquest.com/lib/viva-active/detail.action?docID=1303599</t>
  </si>
  <si>
    <t>Del Valle, José</t>
  </si>
  <si>
    <t>Spanish language -- Political aspects -- History. ; Communication in politics -- History. ; Spanish-speaking countries -- Politics and government.</t>
  </si>
  <si>
    <t>Twenty Years of Health System Reform in Brazil : An Assessment of the Sistema Único de Saúde</t>
  </si>
  <si>
    <t>https://ebookcentral.proquest.com/lib/viva-active/detail.action?docID=1316477</t>
  </si>
  <si>
    <t>Gragnolati, Michele;Lindelow, Magnus;Couttolenc, Bernard</t>
  </si>
  <si>
    <t>Medicine; Health; Social Science</t>
  </si>
  <si>
    <t>Public health administration -- Brazil. ; Health care reform -- Brazil.</t>
  </si>
  <si>
    <t>Uncovering the Drivers of Utility Performance : Lessons from Latin America and the Caribbean on the Role of the Private Sector, Regulation, and Governance in the Power, Water, and Telecommunication Sectors</t>
  </si>
  <si>
    <t>https://ebookcentral.proquest.com/lib/viva-active/detail.action?docID=1316478</t>
  </si>
  <si>
    <t>Andrés, Luis A.;Schwartz, Jordan;Guasch, J. Luis</t>
  </si>
  <si>
    <t>Brunei -- Economic conditions. ; Brunei.</t>
  </si>
  <si>
    <t>Documented, Undocumented, and Something Else : The Incorporation of Children of Brazilian Immigrants</t>
  </si>
  <si>
    <t>https://ebookcentral.proquest.com/lib/viva-active/detail.action?docID=1316484</t>
  </si>
  <si>
    <t>Cebulko, Kara B.</t>
  </si>
  <si>
    <t>Brazil -- Economic conditions. ; Brazil.</t>
  </si>
  <si>
    <t>How Forests Think : Toward an Anthropology Beyond the Human</t>
  </si>
  <si>
    <t>https://ebookcentral.proquest.com/lib/viva-active/detail.action?docID=1318190</t>
  </si>
  <si>
    <t>Kohn, Eduardo</t>
  </si>
  <si>
    <t>Quechua Indians -- Social life and customs. ; Quechua mythology. ; Indigenous peoples -- Ecology -- Amazon River Region. ; Human-animal relationships -- Amazon River Region. ; Human-plant relationships -- Amazon River Region. ; Philosophy of nature -- Amazon River Region. ; Semiotics -- Amazon River Region.</t>
  </si>
  <si>
    <t>The Bilingual Counselor's Guide to Spanish : Basic Vocabulary and Interventions for the Non-Spanish Speaker</t>
  </si>
  <si>
    <t>https://ebookcentral.proquest.com/lib/viva-active/detail.action?docID=1318963</t>
  </si>
  <si>
    <t>Swazo, Roberto</t>
  </si>
  <si>
    <t>Latin Americans - Services for - United States</t>
  </si>
  <si>
    <t>Jewish Immigrants and the Creation of Argentine National Identity : Jewish Immigrants and the Creation of Argentine National Identity</t>
  </si>
  <si>
    <t>https://ebookcentral.proquest.com/lib/viva-active/detail.action?docID=1319111</t>
  </si>
  <si>
    <t>Nouwen, Mollie Lewis</t>
  </si>
  <si>
    <t>Civilization, Modern. ; Civilization, Western. ; Comparative civilization. ; East and West.</t>
  </si>
  <si>
    <t>For God and Revolution : Priest, Peasant, and Agrarian Socialism in the Mexican Huasteca</t>
  </si>
  <si>
    <t>https://ebookcentral.proquest.com/lib/viva-active/detail.action?docID=1319112</t>
  </si>
  <si>
    <t>Saka, Mark Saad</t>
  </si>
  <si>
    <t>Agriculture; Economics; Business/Management</t>
  </si>
  <si>
    <t>Parthenon (Athens, Greece) ; Elgin marbles.</t>
  </si>
  <si>
    <t>Latin American Politics and Development</t>
  </si>
  <si>
    <t>https://ebookcentral.proquest.com/lib/viva-active/detail.action?docID=1319691</t>
  </si>
  <si>
    <t>Wiarda, Howard J.;Kline, Harvey F.</t>
  </si>
  <si>
    <t>Westview Press</t>
  </si>
  <si>
    <t>Carmen, a Gypsy Geography : A Gypsy Geography</t>
  </si>
  <si>
    <t>https://ebookcentral.proquest.com/lib/viva-active/detail.action?docID=1322658</t>
  </si>
  <si>
    <t>Bennahum, Ninotchka</t>
  </si>
  <si>
    <t>Fine Arts; Literature</t>
  </si>
  <si>
    <t>Carmen (Fictitious character) -- Historiography. ; Romanies -- Material culture. ; Romanies -- Social life and customs. ; Romanies -- Mediterranean Region. ; Romanies -- Spain. ; Flamenco -- Spain. ; Flamenco -- Social aspects -- Spain.</t>
  </si>
  <si>
    <t>Territorial Rule in Colombia and the Transformation of the Llanos Orientales</t>
  </si>
  <si>
    <t>https://ebookcentral.proquest.com/lib/viva-active/detail.action?docID=1323618</t>
  </si>
  <si>
    <t>Rausch, Jane M.</t>
  </si>
  <si>
    <t>Llanos -- Colombia -- History. ; Frontier and pioneer life -- Colombia. ; Llanos (Colombia and Venezuela) -- History. ; Llanos (Colombia and Venezuela) -- Social life and customs. ; Colombia -- Politics and government.</t>
  </si>
  <si>
    <t>Maria's Journey</t>
  </si>
  <si>
    <t>https://ebookcentral.proquest.com/lib/viva-active/detail.action?docID=1324247</t>
  </si>
  <si>
    <t>Arredondo, Trisha Hull;Arredondo, Ramón;Lane, James B;Bodnar, Dr John</t>
  </si>
  <si>
    <t>Indiana Historical Society</t>
  </si>
  <si>
    <t>Arredondo, Maria, -- 1907-2004. ; Mexican American women -- Illinois -- Chicago -- Biography. ; Mexican Americans -- Illinois -- Chicago -- Social life and customs. ; Immigrants -- Illinois -- Chicago -- Biography. ; Immigrants -- Mexico -- Biography. ; Chicago (Ill.) -- Biography.</t>
  </si>
  <si>
    <t>The Catholic Church and Power Politics in Latin America : The Dominican Case in Comparative Perspective</t>
  </si>
  <si>
    <t>https://ebookcentral.proquest.com/lib/viva-active/detail.action?docID=1331666</t>
  </si>
  <si>
    <t>Betances, Emelio</t>
  </si>
  <si>
    <t>Dominican Republic - Church history</t>
  </si>
  <si>
    <t>Matamoros and the Texas Revolution</t>
  </si>
  <si>
    <t>https://ebookcentral.proquest.com/lib/viva-active/detail.action?docID=1335295</t>
  </si>
  <si>
    <t>Roell, Craig H.</t>
  </si>
  <si>
    <t>Texas State Historical Assn</t>
  </si>
  <si>
    <t>Fred Rider Cotten Popular History Series</t>
  </si>
  <si>
    <t>Matamoros Expedition -- (1835-1836) ; Matamoros (Tamaulipas, Mexico) -- History -- 19th century. ; Texas -- History -- Revolution, 1835-1836.</t>
  </si>
  <si>
    <t>Sustaining Trade Reform : Institutional Lessons from Argentina and Peru</t>
  </si>
  <si>
    <t>https://ebookcentral.proquest.com/lib/viva-active/detail.action?docID=1336653</t>
  </si>
  <si>
    <t>Baracat, Elías A.;Finger, J. Michael;León Thorne, Raúl</t>
  </si>
  <si>
    <t>Argentina -- Commercial policy. ; Argentina -- Commerce. ; Peru -- Commercial policy. ; Peru -- Commerce.</t>
  </si>
  <si>
    <t>1812 Echoes : The Cadiz Constitution in Hispanic History, Culture and Politics</t>
  </si>
  <si>
    <t>https://ebookcentral.proquest.com/lib/viva-active/detail.action?docID=1336793</t>
  </si>
  <si>
    <t>Sharman, Adam;Roberts, Stephen G.H.</t>
  </si>
  <si>
    <t>Constitutional history -- Spain. ; Constitutions -- Spain.</t>
  </si>
  <si>
    <t>Latin American Bureaucracy and the State Building Process (1780-1860)</t>
  </si>
  <si>
    <t>https://ebookcentral.proquest.com/lib/viva-active/detail.action?docID=1336796</t>
  </si>
  <si>
    <t>Garavaglia, Juan Carlos;Ruiz, Juan Pro</t>
  </si>
  <si>
    <t>Authoritarianism -- Latin America. ; Bureaucracy. ; Public administration.</t>
  </si>
  <si>
    <t>Twilight of the Mission Frontier : Shifting Interethnic Alliances and Social Organization in Sonora, 1768-1855</t>
  </si>
  <si>
    <t>https://ebookcentral.proquest.com/lib/viva-active/detail.action?docID=1339415</t>
  </si>
  <si>
    <t>De la Torre Curiel, Jose;Torre Curiel Joseu Refugio de La,</t>
  </si>
  <si>
    <t>Franciscans -- Mexico -- Sonora (State) -- History -- 18th century. ; Franciscans -- Mexico -- Sonora (State) -- History -- 19th century. ; Missions -- Mexico -- Sonora (State) -- History -- 18th century. ; Missions -- Mexico -- Sonora (State) -- History -- 19th century. ; Indians of Mexico -- Missions -- Mexico -- Sonora (State) -- History -- 18th century. ; Indians of Mexico -- Missions -- Mexico -- Sonora (State) -- History -- 19th century. ; Social structure -- Mexico -- Sonora (State) -- History -- 18th century.</t>
  </si>
  <si>
    <t>The Women's Revolution in Mexico, 1910-1953</t>
  </si>
  <si>
    <t>https://ebookcentral.proquest.com/lib/viva-active/detail.action?docID=1343774</t>
  </si>
  <si>
    <t>Mitchell, Stephanie;Schell, Patience A.;Bliss, Katherine Elaine;Buck, Sarah A.;Mitchell, Stephanie E.;Escandón, Carmen Ramos;Rocha, Martha Eva;Sanders, Nichole;Smith, Stephanie;Wood, Andrew G.</t>
  </si>
  <si>
    <t>Women - Political activity - Mexico - History - 20th century</t>
  </si>
  <si>
    <t>Five Generations of a Mexican American Family in Los Angeles : The Fuentes Story</t>
  </si>
  <si>
    <t>https://ebookcentral.proquest.com/lib/viva-active/detail.action?docID=1343819</t>
  </si>
  <si>
    <t>Chavez, Christina</t>
  </si>
  <si>
    <t>Fuentes family</t>
  </si>
  <si>
    <t>Gender, Sexuality, and Power in Latin America since Independence</t>
  </si>
  <si>
    <t>https://ebookcentral.proquest.com/lib/viva-active/detail.action?docID=1350155</t>
  </si>
  <si>
    <t>French, William E.;Bliss, Katherine Elaine</t>
  </si>
  <si>
    <t>Jaguar Books on Latin America</t>
  </si>
  <si>
    <t>Power (Social sciences) - Latin America</t>
  </si>
  <si>
    <t>Contemporary Latina/o Theater : Wrighting Ethnicity</t>
  </si>
  <si>
    <t>https://ebookcentral.proquest.com/lib/viva-active/detail.action?docID=1354424</t>
  </si>
  <si>
    <t xml:space="preserve">Rossini, Jon D.;Schanke, Robert A. </t>
  </si>
  <si>
    <t>Southern Illinois University Press</t>
  </si>
  <si>
    <t>Theater in the Americas Ser.</t>
  </si>
  <si>
    <t>American drama -- Hispanic American authors -- History and criticism. ; American drama -- 20th century -- History and criticism. ; Hispanic Americans in literature. ; Ethnicity in literature. ; Hispanic Americans -- Ethnic identity.</t>
  </si>
  <si>
    <t>Religious Culture in Modern Mexico</t>
  </si>
  <si>
    <t>https://ebookcentral.proquest.com/lib/viva-active/detail.action?docID=1354834</t>
  </si>
  <si>
    <t>Nesvig, Martin Austin;Arrom, Silvia Marina;Bantjes, Adrian;Dormady, Jason;Traffano, Daniela;Vanderwood, Paul J;Voekel, Pamela;Wright-Rios, Edward</t>
  </si>
  <si>
    <t>Mexico - Religious life and customs</t>
  </si>
  <si>
    <t>Social Movements, Law and the Politics of Land Reform : Lessons from Brazil</t>
  </si>
  <si>
    <t>https://ebookcentral.proquest.com/lib/viva-active/detail.action?docID=1356333</t>
  </si>
  <si>
    <t>Meszaros, George</t>
  </si>
  <si>
    <t>Literature; Law</t>
  </si>
  <si>
    <t>Land reform - Political aspects</t>
  </si>
  <si>
    <t>Aymara Indian Perspectives on Development in the Andes</t>
  </si>
  <si>
    <t>https://ebookcentral.proquest.com/lib/viva-active/detail.action?docID=1361943</t>
  </si>
  <si>
    <t>Eisenberg, Amy;Eisenberg, Amy;Eisenberg, Amy</t>
  </si>
  <si>
    <t>Chile - Environmental conditions</t>
  </si>
  <si>
    <t>Oye Loca : From the Mariel Boatlift to Gay Cuban Miami</t>
  </si>
  <si>
    <t>https://ebookcentral.proquest.com/lib/viva-active/detail.action?docID=1362024</t>
  </si>
  <si>
    <t>Peña, Susana</t>
  </si>
  <si>
    <t>Communication in medicine. ; Health promotion. ; Medicine -- Data processing.</t>
  </si>
  <si>
    <t>Making Art Panamerican : Cultural Policy and the Cold War</t>
  </si>
  <si>
    <t>https://ebookcentral.proquest.com/lib/viva-active/detail.action?docID=1362031</t>
  </si>
  <si>
    <t>Fox, Claire F.</t>
  </si>
  <si>
    <t>3ds max (Computer file) ; Computer animation. ; Computer graphics. ; Computer games -- Design.</t>
  </si>
  <si>
    <t>African-Brazilian Culture and Regional Identity in Bahia, Brazil</t>
  </si>
  <si>
    <t>https://ebookcentral.proquest.com/lib/viva-active/detail.action?docID=1367698</t>
  </si>
  <si>
    <t>Ickes, Scott</t>
  </si>
  <si>
    <t>Blacks -- Brazil -- Bahia (State) -- History. ; Social classes -- Brazil -- Bahia (State) ; Bahia (Brazil : State) -- Social conditions. ; Bahia (Brazil : State) -- Race relations. ; Bahia (Brazil : State) -- History.</t>
  </si>
  <si>
    <t>Grandchildren of Solano LóPez : Frontier and Nation in Paraguay, 1904-1936</t>
  </si>
  <si>
    <t>https://ebookcentral.proquest.com/lib/viva-active/detail.action?docID=1376975</t>
  </si>
  <si>
    <t>Chesterton, Bridget María</t>
  </si>
  <si>
    <t>Deviant behavior. ; Crime.</t>
  </si>
  <si>
    <t>Violent Delights, Violent Ends : Sex, Race, and Honor in Colonial Cartagena de Indias</t>
  </si>
  <si>
    <t>https://ebookcentral.proquest.com/lib/viva-active/detail.action?docID=1378778</t>
  </si>
  <si>
    <t>von Germeten, Nicole</t>
  </si>
  <si>
    <t>Cancer. ; Cancer -- Study and teaching.</t>
  </si>
  <si>
    <t>Francisco Solano López and the Ruination of Paraguay : Honor and Egocentrism</t>
  </si>
  <si>
    <t>https://ebookcentral.proquest.com/lib/viva-active/detail.action?docID=1380553</t>
  </si>
  <si>
    <t>Saeger, James Schofield</t>
  </si>
  <si>
    <t>Presidents - Paraguay</t>
  </si>
  <si>
    <t>Immigrant Farmworkers and Ciizenship in Rural California : Playing Soccer in the San Joaquin Valley</t>
  </si>
  <si>
    <t>https://ebookcentral.proquest.com/lib/viva-active/detail.action?docID=1389272</t>
  </si>
  <si>
    <t>Santos-Gomez, Hugo</t>
  </si>
  <si>
    <t>Executives. ; Management -- Psychological aspects. ; Identity (Psychology)</t>
  </si>
  <si>
    <t>Re-Immigration after Deportation : Family, Gender, and the Decision to Make a Seond Attempt to Enter the U.S.</t>
  </si>
  <si>
    <t>https://ebookcentral.proquest.com/lib/viva-active/detail.action?docID=1389275</t>
  </si>
  <si>
    <t>Molina, Paola</t>
  </si>
  <si>
    <t>Moltmann, Jürgen. ; Religion and civil society. ; Political theology. ; Critical theory.</t>
  </si>
  <si>
    <t>Transnational Struggles : Policy, Gender, and Family Life on the Texas-Mexico Border</t>
  </si>
  <si>
    <t>https://ebookcentral.proquest.com/lib/viva-active/detail.action?docID=1389276</t>
  </si>
  <si>
    <t>Bustamente, Juan Jose</t>
  </si>
  <si>
    <t>Reformation -- England. ; Reformation -- Italy -- Influence. ; England -- Relations -- Italy. ; Italy -- Relations -- England.</t>
  </si>
  <si>
    <t>Hispanic Entrepreneurs in The 2000s : An Economic Profile and Policy Implications</t>
  </si>
  <si>
    <t>https://ebookcentral.proquest.com/lib/viva-active/detail.action?docID=1390979</t>
  </si>
  <si>
    <t>Dávila, Alberto;Mora, Marie T.;Dávila, Alberto;Dauvila Alberto E Mora Marie T,</t>
  </si>
  <si>
    <t>Hispanic American businesspeople. ; Hispanic American business enterprises. ; Entrepreneurship -- United States.</t>
  </si>
  <si>
    <t>Dangerous Liaisons : Organized Crime and Political Finance in Latin America and Beyond</t>
  </si>
  <si>
    <t>https://ebookcentral.proquest.com/lib/viva-active/detail.action?docID=1400644</t>
  </si>
  <si>
    <t>Casas-Zamora, Kevin</t>
  </si>
  <si>
    <t>Social Science; Law</t>
  </si>
  <si>
    <t>Organized crime - Political aspects - Italy</t>
  </si>
  <si>
    <t>Tilting at Tradition : Problems of Genre in the Novels of Miguel de Cervantes and Charles Sorel</t>
  </si>
  <si>
    <t>https://ebookcentral.proquest.com/lib/viva-active/detail.action?docID=1402880</t>
  </si>
  <si>
    <t>Syrovy, Daniel</t>
  </si>
  <si>
    <t>Internationale Forschungen Zur Allgemeinen und Vergleichenden Literaturwissenschaft Ser.</t>
  </si>
  <si>
    <t>Literary form--History--17th century.</t>
  </si>
  <si>
    <t>Everyday Moral Economies : Food, Politics and Scale in Cuba</t>
  </si>
  <si>
    <t>https://ebookcentral.proquest.com/lib/viva-active/detail.action?docID=1420220</t>
  </si>
  <si>
    <t>Wilson, Marisa</t>
  </si>
  <si>
    <t>RGS-IBG Book Ser.</t>
  </si>
  <si>
    <t>Food supply -- Social aspects -- Cuba. ; Food supply -- Economic aspects -- Cuba. ; Consumption (Economics) -- Cuba. ; Exchange -- Cuba. ; Value. ; Cuba -- Economic conditions -- 1990-</t>
  </si>
  <si>
    <t>Mathematics and Multi-Ethnic Students : Exemplary Practices</t>
  </si>
  <si>
    <t>https://ebookcentral.proquest.com/lib/viva-active/detail.action?docID=1422401</t>
  </si>
  <si>
    <t>Germain- Mc Carthy, Yvelyne;Owens, Katharine</t>
  </si>
  <si>
    <t>Mathematics -- Study and teaching (Middle school) -- United States. ; African American students. ; Hispanic American students. ; Indian students -- United States.</t>
  </si>
  <si>
    <t>Latining America : Black-Brown Passages and the Coloring of Latino/a Studies</t>
  </si>
  <si>
    <t>https://ebookcentral.proquest.com/lib/viva-active/detail.action?docID=1441676</t>
  </si>
  <si>
    <t>Milian, Claudia</t>
  </si>
  <si>
    <t>American literature -- Hispanic American authors -- History and criticism. ; Cultural pluralism -- United States. ; Ethnicity in literature. ; Hispanic Americans -- Ethnic identity. ; Hispanic Americans -- Intellectual life. ; Hispanic Americans -- Race identity. ; Hispanic Americans -- Study and teaching (Higher)</t>
  </si>
  <si>
    <t>Joaquín Balaguer, Memory, and Diaspora : The Lasting Political Legacies of an American Protégé</t>
  </si>
  <si>
    <t>https://ebookcentral.proquest.com/lib/viva-active/detail.action?docID=1441824</t>
  </si>
  <si>
    <t>Liberato, Ana S. Q.</t>
  </si>
  <si>
    <t>Collective memory - Dominican Republic</t>
  </si>
  <si>
    <t>Mexico's Supreme Court : Between Liberal Individual and Revolutionary Social Rights, 1867-1934</t>
  </si>
  <si>
    <t>https://ebookcentral.proquest.com/lib/viva-active/detail.action?docID=1458111</t>
  </si>
  <si>
    <t>James, Timothy M.</t>
  </si>
  <si>
    <t>Mexico. -- Suprema Corte de Justicia -- History. ; Constitutional courts -- Mexico -- History. ; Civil rights -- Mexico -- History. ; Social rights -- Mexico -- History. ; Mexico -- Politics and government -- 1867-1910. ; Mexico -- Politics and government -- 1910-1946.</t>
  </si>
  <si>
    <t>How Race Is Made in America : Immigration, Citizenship, and the Historical Power of Racial Scripts</t>
  </si>
  <si>
    <t>https://ebookcentral.proquest.com/lib/viva-active/detail.action?docID=1463630</t>
  </si>
  <si>
    <t>Citizenship -- United States -- History -- 20th century. ; Deportation -- United States -- History -- 20th century. ; Immigrants -- United States -- History -- 20th century. ; Mexican Americans -- Civil rights -- History -- 20th century. ; Mexican Americans -- Social conditions -- 20th century. ; Race discrimination -- United States -- History -- 20th century. ; United States -- Emigration and immigration -- Government policy -- History -- 20th century.</t>
  </si>
  <si>
    <t>The Tonadilla in Performance : Lyric Comedy in Enlightenment Spain</t>
  </si>
  <si>
    <t>https://ebookcentral.proquest.com/lib/viva-active/detail.action?docID=1463632</t>
  </si>
  <si>
    <t>Le Guin, Elisabeth</t>
  </si>
  <si>
    <t>Tonadillas - History and criticism</t>
  </si>
  <si>
    <t>Laughter Out of Place : Race, Class, Violence, and Sexuality in a Rio Shantytown</t>
  </si>
  <si>
    <t>https://ebookcentral.proquest.com/lib/viva-active/detail.action?docID=1466989</t>
  </si>
  <si>
    <t>Goldstein, Donna M.</t>
  </si>
  <si>
    <t>Marginality, Social -- Brazil -- Rio de Janeiro. ; Poor -- Brazil -- Rio de Janeiro. ; Poor -- Brazil -- Rio de Janeiro -- Humor. ; Slums -- Brazil -- Rio de Janeiro. ; Violence -- Brazil -- Rio de Janeiro. ; Sex -- Brazil -- Rio de Janeiro. ; Rio de Janeiro (Brazil) -- Race relations.</t>
  </si>
  <si>
    <t>Black and Brown in Los Angeles : Beyond Conflict and Coalition</t>
  </si>
  <si>
    <t>https://ebookcentral.proquest.com/lib/viva-active/detail.action?docID=1471738</t>
  </si>
  <si>
    <t>Kun, Josh;Pulido, Laura</t>
  </si>
  <si>
    <t>Geography/Travel; History; Social Science</t>
  </si>
  <si>
    <t>Community life - California - Los Angeles</t>
  </si>
  <si>
    <t>Materializing Poverty : How the Poor Transform Their Lives</t>
  </si>
  <si>
    <t>https://ebookcentral.proquest.com/lib/viva-active/detail.action?docID=1471878</t>
  </si>
  <si>
    <t>Taylor, Erin B.</t>
  </si>
  <si>
    <t>Anthropology of Daily Life</t>
  </si>
  <si>
    <t>Social values - Dominican Republic - Santo Domingo</t>
  </si>
  <si>
    <t>Essays : Exploring the Global Caribbean</t>
  </si>
  <si>
    <t>https://ebookcentral.proquest.com/lib/viva-active/detail.action?docID=1477533</t>
  </si>
  <si>
    <t>Roberson, Susan</t>
  </si>
  <si>
    <t>Democracy -- Caribbean Area. ; Caribbean Area -- Politics and government -- 21st century. ; Caribbean Area -- Economic policy. ; Caribbean Area -- Foreign relations -- 1945-</t>
  </si>
  <si>
    <t>Saints and Citizens : Indigenous Histories of Colonial Missions and Mexican California</t>
  </si>
  <si>
    <t>https://ebookcentral.proquest.com/lib/viva-active/detail.action?docID=1504450</t>
  </si>
  <si>
    <t>Haas, Lisbeth</t>
  </si>
  <si>
    <t>Indians of North America -- Ethnic identity. ; Indians of North America -- Land tenure -- California -- History. ; Indians of North America -- Missions -- California -- History. ; Indians, Treatment of -- California. ; Missions, Spanish -- California -- History. ; California -- History -- To 1846.</t>
  </si>
  <si>
    <t>When I Wear My Alligator Boots : Narco-Culture in the U. S. Mexico Borderlands</t>
  </si>
  <si>
    <t>https://ebookcentral.proquest.com/lib/viva-active/detail.action?docID=1504451</t>
  </si>
  <si>
    <t>Muehlmann, Shaylih</t>
  </si>
  <si>
    <t>Drug control -- Mexican-American Border Region. ; Drug control -- United States. ; Drug traffic -- Mexican-American Border Region. ; Drug traffic -- United States. ; Rural poor -- Mexico. ; Mexican-American Border Region -- Social conditions.</t>
  </si>
  <si>
    <t>Buen Gusto and Classicism in the Visual Cultures of Latin America, 1780-1910</t>
  </si>
  <si>
    <t>https://ebookcentral.proquest.com/lib/viva-active/detail.action?docID=1517456</t>
  </si>
  <si>
    <t>Niell, Paul B.;Widdifield, Stacie G.</t>
  </si>
  <si>
    <t>Sudan -- Economic conditions. ; Sudan.</t>
  </si>
  <si>
    <t>Beyond the Eagle's Shadow : New Histories of Latin America's Cold War</t>
  </si>
  <si>
    <t>https://ebookcentral.proquest.com/lib/viva-active/detail.action?docID=1517457</t>
  </si>
  <si>
    <t>Garrard-Burnett, Virginia;Lawrence, Mark Atwood;Moreno, Julio E.</t>
  </si>
  <si>
    <t>Croatia -- Economic conditions. ; Croatia.</t>
  </si>
  <si>
    <t>Harbinger of Modernity : Marcos Aguinis and the Democratization of Argentina</t>
  </si>
  <si>
    <t>https://ebookcentral.proquest.com/lib/viva-active/detail.action?docID=1524071</t>
  </si>
  <si>
    <t>Wassner, Dalia</t>
  </si>
  <si>
    <t>Aguinis, Marcos -- Criticism and interpretation. ; Aguinis, Marcos -- Political and social views. ; Intellectuals -- Argentina -- History -- 20th century. ; Jews -- Argentina -- Intellectual life. ; Politics in literature. ; Argentina -- Politics and government -- 1983-2002.</t>
  </si>
  <si>
    <t>Colombia's Forgotten Frontier : A Literary Geography of the Putumayo</t>
  </si>
  <si>
    <t>https://ebookcentral.proquest.com/lib/viva-active/detail.action?docID=1531586</t>
  </si>
  <si>
    <t>Wylie, Lesley</t>
  </si>
  <si>
    <t>American Tropics Towards a Literary Geography LUP Ser.</t>
  </si>
  <si>
    <t>Colombian literature--20th century--History and criticism.</t>
  </si>
  <si>
    <t>Black Women against the Land Grab : The Fight for Racial Justice in Brazil</t>
  </si>
  <si>
    <t>https://ebookcentral.proquest.com/lib/viva-active/detail.action?docID=1538760</t>
  </si>
  <si>
    <t>Perry, Keisha-Khan Y.</t>
  </si>
  <si>
    <t>Blacks -- Brazil -- Salvador -- Social conditions. ; Urban poor -- Political activity -- Brazil -- Salvador. ; Urban renewal -- Brazil -- Salvador. ; Women, Black -- Political activity -- Brazil -- Salvador. ; Salvador (Brazil) -- Politics and government.</t>
  </si>
  <si>
    <t>Academic Profiling : Latinos, Asian Americans, and the Achievement Gap</t>
  </si>
  <si>
    <t>https://ebookcentral.proquest.com/lib/viva-active/detail.action?docID=1538778</t>
  </si>
  <si>
    <t>Ochoa, Gilda L.</t>
  </si>
  <si>
    <t>Academic achievement -- California. ; Asian Americans -- Education -- California. ; Discrimination in education -- California. ; Latin Americans -- Education -- California.</t>
  </si>
  <si>
    <t>Seeking Human Rights Justice in Latin America : Truth, Extra-Territorial Courts, and the Process of Justice</t>
  </si>
  <si>
    <t>https://ebookcentral.proquest.com/lib/viva-active/detail.action?docID=1543599</t>
  </si>
  <si>
    <t>Davis, Jeffrey</t>
  </si>
  <si>
    <t>International human rights courts -- Latin America.</t>
  </si>
  <si>
    <t>The Civilizing Machine : A Cultural History of Mexican Railroads, 1876-1910</t>
  </si>
  <si>
    <t>https://ebookcentral.proquest.com/lib/viva-active/detail.action?docID=1543721</t>
  </si>
  <si>
    <t>Matthews, Michael</t>
  </si>
  <si>
    <t>Popular culture -- Mexico -- History -- 20th century. ; Railroads -- Mexico -- Public opinion -- History -- 20th century. ; Railroads -- Social aspects -- Mexico -- History -- 20th century. ; Mexico -- History -- 1867-1910.</t>
  </si>
  <si>
    <t>Railroad Radicals in Cold War Mexico : Gender, Class, and Memory</t>
  </si>
  <si>
    <t>https://ebookcentral.proquest.com/lib/viva-active/detail.action?docID=1543726</t>
  </si>
  <si>
    <t>Alegre, Robert F.;Poniatowska, Elena</t>
  </si>
  <si>
    <t>Railroads -- Employees -- Labor unions -- Mexico -- History -- 20th century. ; Mexico -- History -- 20th century.</t>
  </si>
  <si>
    <t>Latino Homicide : Immigration, Violence, and Community</t>
  </si>
  <si>
    <t>https://ebookcentral.proquest.com/lib/viva-active/detail.action?docID=1562111</t>
  </si>
  <si>
    <t>Martinez, Jr., Ramiro</t>
  </si>
  <si>
    <t>Criminal Justice Series</t>
  </si>
  <si>
    <t>Homicide--United States--Case studies.</t>
  </si>
  <si>
    <t>Domestic Negotiations : Gender, Nation, and Self-Fashioning in US Mexicana and Chicana Literature and Art</t>
  </si>
  <si>
    <t>https://ebookcentral.proquest.com/lib/viva-active/detail.action?docID=1562481</t>
  </si>
  <si>
    <t>McMahon, Marci R.</t>
  </si>
  <si>
    <t>Mexican American women artists</t>
  </si>
  <si>
    <t>Troubling Nationhood in U. S. Latina Literature : Explorations of Place and Belonging</t>
  </si>
  <si>
    <t>https://ebookcentral.proquest.com/lib/viva-active/detail.action?docID=1562485</t>
  </si>
  <si>
    <t>Socolovsky, Maya</t>
  </si>
  <si>
    <t>Belonging (Social psychology)</t>
  </si>
  <si>
    <t>Hidden Chicano Cinema : Film Dramas in the Borderlands</t>
  </si>
  <si>
    <t>https://ebookcentral.proquest.com/lib/viva-active/detail.action?docID=1562491</t>
  </si>
  <si>
    <t>Melendez, A. Gabriel;Melendez, A Gabriel</t>
  </si>
  <si>
    <t>Mexican-American Border Region - In motion pictures</t>
  </si>
  <si>
    <t>Life on the Malecón : Children and Youth on the Streets of Santo Domingo</t>
  </si>
  <si>
    <t>https://ebookcentral.proquest.com/lib/viva-active/detail.action?docID=1562497</t>
  </si>
  <si>
    <t>Wolseth, Jon M.</t>
  </si>
  <si>
    <t>Social work with youth - Dominican Republic - Santo Domingo</t>
  </si>
  <si>
    <t>Amigas y Amantes : Sexually Nonconforming Latinas Negotiate Family</t>
  </si>
  <si>
    <t>https://ebookcentral.proquest.com/lib/viva-active/detail.action?docID=1562500</t>
  </si>
  <si>
    <t>Acosta, Katie L.</t>
  </si>
  <si>
    <t>Families in Focus Ser.</t>
  </si>
  <si>
    <t>Hispanic American lesbians</t>
  </si>
  <si>
    <t>Cuba in a Global Context : International Relations, Internationalism, and Transnationalism</t>
  </si>
  <si>
    <t>https://ebookcentral.proquest.com/lib/viva-active/detail.action?docID=1562638</t>
  </si>
  <si>
    <t>Krull, Catherine;Krull, Catherine</t>
  </si>
  <si>
    <t>Cuba - Politics and government - 1959-1990</t>
  </si>
  <si>
    <t>Innovation Support in Latin America and Europe : Theory, Practice and Policy in Innovation and Innovation Systems</t>
  </si>
  <si>
    <t>https://ebookcentral.proquest.com/lib/viva-active/detail.action?docID=1570475</t>
  </si>
  <si>
    <t>Anderson, Mark;Edgar, David;Grant, Kevin;Halcro, Keith;Devis, Julio Mario Rodriguez;Genskowsky, Lautaro Guera</t>
  </si>
  <si>
    <t>Technological innovations -- Latin America. ; Technological innovations -- Europe. ; Diffusion of innovations -- Latin America. ; Diffusion of innovations -- Europe.</t>
  </si>
  <si>
    <t>Borderlands Saints : Secular Sanctity in Chicano/a and Mexican Culture</t>
  </si>
  <si>
    <t>https://ebookcentral.proquest.com/lib/viva-active/detail.action?docID=1573370</t>
  </si>
  <si>
    <t xml:space="preserve">Martin, Desiree A.;Martn, Desire A ;Martin, Desiree A </t>
  </si>
  <si>
    <t>Mexican literature - History and criticism</t>
  </si>
  <si>
    <t>Language Contact and Documentation / Contacto Lingüístico y Documentación</t>
  </si>
  <si>
    <t>https://ebookcentral.proquest.com/lib/viva-active/detail.action?docID=1575411</t>
  </si>
  <si>
    <t>Comrie, Bernard;Golluscio, Lucía A.</t>
  </si>
  <si>
    <t>Languages in contact -- Latin America. ; Endangered languages -- Latin America. ; Language and culture -- Latin America. ; Latin America -- Languages.</t>
  </si>
  <si>
    <t>Discursive Remembering : Individual and Collective Remembering As a Discursive, Cognitive and Historical Process</t>
  </si>
  <si>
    <t>https://ebookcentral.proquest.com/lib/viva-active/detail.action?docID=1575451</t>
  </si>
  <si>
    <t>Bietti, Lucas M.</t>
  </si>
  <si>
    <t>Media and Cultural Memory / Medien und Kulturelle Erinnerung Ser.</t>
  </si>
  <si>
    <t>Memory. ; Collective memory. ; Cognition. ; Social psychology.</t>
  </si>
  <si>
    <t>Cuba Inside Out : Revolution and Contemporary Theatre</t>
  </si>
  <si>
    <t>https://ebookcentral.proquest.com/lib/viva-active/detail.action?docID=1575542</t>
  </si>
  <si>
    <t>Prizant, Yael</t>
  </si>
  <si>
    <t>Theater -- Cuba -- History -- 20th century. ; Theater -- Cuba -- History -- 21st century.</t>
  </si>
  <si>
    <t>Entrepreneurship in Latin America : A Step Up the Social Ladder?</t>
  </si>
  <si>
    <t>https://ebookcentral.proquest.com/lib/viva-active/detail.action?docID=1578333</t>
  </si>
  <si>
    <t xml:space="preserve">Lora, Eduardo;Castellani, Francesca;Castellani, Francesca </t>
  </si>
  <si>
    <t>Economic development -- Latin America. ; Entrepreneurship -- Social aspects -- Latin America. ; Social mobility -- Latin America.</t>
  </si>
  <si>
    <t>Transatlantic Travels in Nineteenth-Century Latin America : European Women Pilgrims</t>
  </si>
  <si>
    <t>https://ebookcentral.proquest.com/lib/viva-active/detail.action?docID=1580579</t>
  </si>
  <si>
    <t xml:space="preserve">Méndez Rodenas, Adriana;Mendez Rodenas, Adriana </t>
  </si>
  <si>
    <t>Bucknell Studies in Latin American Literature and Theory</t>
  </si>
  <si>
    <t>Geography/Travel</t>
  </si>
  <si>
    <t>Latin America - Social life and customs - 19th century</t>
  </si>
  <si>
    <t>Beyond Civilization and Barbarism : Culture and Politics in Postrevolutionary Argentina</t>
  </si>
  <si>
    <t>https://ebookcentral.proquest.com/lib/viva-active/detail.action?docID=1580580</t>
  </si>
  <si>
    <t>Lanctot, Brendan</t>
  </si>
  <si>
    <t>Argentine literature -- History and criticism. ; Literature and society -- Argentina. ; National characteristics, Argentine, in literature.</t>
  </si>
  <si>
    <t>Changs Next Door to the Díazes : Remapping Race in Suburban California</t>
  </si>
  <si>
    <t>https://ebookcentral.proquest.com/lib/viva-active/detail.action?docID=1581500</t>
  </si>
  <si>
    <t>Cheng, Wendy</t>
  </si>
  <si>
    <t>Asian Americans -- California -- Los Angeles Suburban Area. ; Hispanic Americans -- California -- Los Angeles Suburban Area. ; Los Angeles Suburban Area (Calif.) -- Race relations.</t>
  </si>
  <si>
    <t>Fires on the Border : The Passionate Politics of Labor Organizing on the Mexican Frontera</t>
  </si>
  <si>
    <t>https://ebookcentral.proquest.com/lib/viva-active/detail.action?docID=1581501</t>
  </si>
  <si>
    <t>Hennessy, Rosemary</t>
  </si>
  <si>
    <t>Offshore assembly industry -- Employees -- Labor unions -- Mexican-American Border Region. ; Labor unions -- Organizing -- Mexican-American Border Region. ; Women offshore assembly industry workers -- Mexican-American Border Region.</t>
  </si>
  <si>
    <t>Masculinity after Trujillo : The Politics of Gender in Dominican Literature</t>
  </si>
  <si>
    <t>https://ebookcentral.proquest.com/lib/viva-active/detail.action?docID=1582129</t>
  </si>
  <si>
    <t>Horn, Maja</t>
  </si>
  <si>
    <t>Men - Dominican Republic - Psychology</t>
  </si>
  <si>
    <t>The Fantasy of Globalism : The Latin American Neo-Baroque</t>
  </si>
  <si>
    <t>https://ebookcentral.proquest.com/lib/viva-active/detail.action?docID=1583564</t>
  </si>
  <si>
    <t>Waldron, John V.</t>
  </si>
  <si>
    <t>Political Science; Literature</t>
  </si>
  <si>
    <t>Baroque literature - Influence</t>
  </si>
  <si>
    <t>José Carlos Mariátegui’s Unfinished Revolution : Politics, Poetics, and Change in 1920s Peru</t>
  </si>
  <si>
    <t>https://ebookcentral.proquest.com/lib/viva-active/detail.action?docID=1584904</t>
  </si>
  <si>
    <t>Moore, Melisa</t>
  </si>
  <si>
    <t>Mariátegui, José Carlos, -- 1894-1930 -- Influence. ; Peruvian literature -- 20th century -- History and criticism. ; Peru -- Politics and government -- 1919-1968. ; Peru -- Intellectual life -- 20th century.</t>
  </si>
  <si>
    <t>Central America : Challenges Following the 2008-09 Global Crisis</t>
  </si>
  <si>
    <t>https://ebookcentral.proquest.com/lib/viva-active/detail.action?docID=1587746</t>
  </si>
  <si>
    <t xml:space="preserve">Pinon, Marco;López Mejía, Alejandro;Garza, Mario;International Monetary Fund, ;Delgado, Fernando L. </t>
  </si>
  <si>
    <t>International Monetary Fund</t>
  </si>
  <si>
    <t>Global Financial Crisis, 2008-2009. ; Central America -- Economic conditions.</t>
  </si>
  <si>
    <t>Cuban Flute Style : Interpretation and Improvisation</t>
  </si>
  <si>
    <t>https://ebookcentral.proquest.com/lib/viva-active/detail.action?docID=1588992</t>
  </si>
  <si>
    <t>Miller, Sue</t>
  </si>
  <si>
    <t>Charanga - Cuba - History and criticism</t>
  </si>
  <si>
    <t>Sal Si Puedes (Escape If You Can) : Cesar Chavez and the New American Revolution</t>
  </si>
  <si>
    <t>https://ebookcentral.proquest.com/lib/viva-active/detail.action?docID=1589126</t>
  </si>
  <si>
    <t xml:space="preserve">Matthiessen, Peter;Grossman, Marc </t>
  </si>
  <si>
    <t>Chavez, Cesar, -- 1927-1993. ; Labor unions -- United States -- Biography.</t>
  </si>
  <si>
    <t>Emerging Issues in Financial Development : Lessons from Latin America</t>
  </si>
  <si>
    <t>https://ebookcentral.proquest.com/lib/viva-active/detail.action?docID=1595468</t>
  </si>
  <si>
    <t>Didier, Tatiana;Schmukler, Sergio L.</t>
  </si>
  <si>
    <t>Finance -- Latin America. ; Financial institutions -- Latin America. ; Monetary policy -- Latin America.</t>
  </si>
  <si>
    <t>Latin American Entrepreneurs : Many Firms but Little Innovation</t>
  </si>
  <si>
    <t>https://ebookcentral.proquest.com/lib/viva-active/detail.action?docID=1595469</t>
  </si>
  <si>
    <t xml:space="preserve">Lederman, Daniel;Messina, Julian;Pienknagura, Samuel;Rigolini, Jamele ;Pienknagura, Samuel </t>
  </si>
  <si>
    <t>Entrepreneurship -- Latin America. ; Small business -- Latin America. ; Small business -- Management.</t>
  </si>
  <si>
    <t>Marx and Latin America : Marx and Latin America</t>
  </si>
  <si>
    <t>https://ebookcentral.proquest.com/lib/viva-active/detail.action?docID=1596847</t>
  </si>
  <si>
    <t>Aricó, José M.;Broder, David</t>
  </si>
  <si>
    <t>Economics; Social Science</t>
  </si>
  <si>
    <t>Marx, Karl, -- 1818-1883. ; Communism -- Latin America.</t>
  </si>
  <si>
    <t>Surviving the Middle Passage : The West Africa-Surinam Sprachbund</t>
  </si>
  <si>
    <t>https://ebookcentral.proquest.com/lib/viva-active/detail.action?docID=1597574</t>
  </si>
  <si>
    <t>Muysken, Pieter;Smith, Norval;Borges, Robert</t>
  </si>
  <si>
    <t>Trends in Linguistics. Studies and Monographs [TiLSM] Ser.</t>
  </si>
  <si>
    <t>Languages in contact -- African, West. ; Languages in contact -- Suriname. ; Gbe languages -- Grammar, Comparative -- Bantu. ; Bantu languages -- Grammar, Comparative -- Gbe. ; African, West -- Languages.</t>
  </si>
  <si>
    <t>We Are in This Dance Together : Gender, Power, and Globalization at a Mexican Garment Firm</t>
  </si>
  <si>
    <t>https://ebookcentral.proquest.com/lib/viva-active/detail.action?docID=1598093</t>
  </si>
  <si>
    <t>Plankey-Videla, Nancy</t>
  </si>
  <si>
    <t>Clothing workers - Labor unions - Mexico</t>
  </si>
  <si>
    <t>DiáLogos Series : Native Brazil: Beyond the Convert and the Cannibal, 1500-1900</t>
  </si>
  <si>
    <t>https://ebookcentral.proquest.com/lib/viva-active/detail.action?docID=1598412</t>
  </si>
  <si>
    <t>Langfur, Hal</t>
  </si>
  <si>
    <t>Indians of South America -- Brazil -- History. ; Indians, Treatment of -- Brazil -- History. ; Indians of South America -- First contact with Europeans -- Brazil. ; Indians of South America -- Missions -- Brazil -- History. ; Indians of South America -- Brazil -- Government relations. ; Brazil -- Colonization.</t>
  </si>
  <si>
    <t>The Life of Catalina de Erauso, the Lieutenant Nun : An Early Modern Autobiography</t>
  </si>
  <si>
    <t>https://ebookcentral.proquest.com/lib/viva-active/detail.action?docID=1598797</t>
  </si>
  <si>
    <t>Pérez-Villanueva, Sonia</t>
  </si>
  <si>
    <t>Literature; History</t>
  </si>
  <si>
    <t>Nuns - Spain - Paais Vasco</t>
  </si>
  <si>
    <t>The Memoir of Toussaint Louverture</t>
  </si>
  <si>
    <t>https://ebookcentral.proquest.com/lib/viva-active/detail.action?docID=1602515</t>
  </si>
  <si>
    <t>Girard, Philippe R.;Girard, Associate Professor of Caribbean History Philippe R</t>
  </si>
  <si>
    <t>Toussaint Louverture, -- 1743-1803. ; Generals -- Haiti -- Biography. ; Revolutionaries -- Haiti -- Biography. ; Haiti -- History -- Revolution, 1791-1804.</t>
  </si>
  <si>
    <t>Politics of Giving in the Viceroyalty of Rio de la Plata : Donors, Lenders, Subjects, and Citizens</t>
  </si>
  <si>
    <t>https://ebookcentral.proquest.com/lib/viva-active/detail.action?docID=1602929</t>
  </si>
  <si>
    <t>Grieco, Viviana L.</t>
  </si>
  <si>
    <t>Loans, Argentine -- Spain -- History -- 18th century. ; Loans, Argentine -- Spain -- History -- 19th century. ; Loans -- Political aspects -- Río de la Plata (Viceroyalty) ; Loans -- Social aspects -- Río de la Plata (Viceroyalty) ; Moneylenders -- Río de la Plata (Viceroyalty) ; Finance, Public -- Río de la Plata (Viceroyalty) ; Argentina -- Politics and government -- 1776-1810.</t>
  </si>
  <si>
    <t>Sacrificing Families : Navigating Laws, Labor, and Love Across Borders</t>
  </si>
  <si>
    <t>https://ebookcentral.proquest.com/lib/viva-active/detail.action?docID=1604464</t>
  </si>
  <si>
    <t>Abrego, Leisy J.</t>
  </si>
  <si>
    <t>Salvadorans -- Family relationships -- United States. ; Immigrants -- Family relationships -- El Salvador. ; Immigrants -- Family relationships -- United States. ; Immigrant families -- El Salvador. ; Children of immigrants -- El Salvador.</t>
  </si>
  <si>
    <t>Exile and Revolution : José D. Poyo, Key West, and Cuban Independence</t>
  </si>
  <si>
    <t>https://ebookcentral.proquest.com/lib/viva-active/detail.action?docID=1604813</t>
  </si>
  <si>
    <t>Poyo, Gerald E.</t>
  </si>
  <si>
    <t>Cubans - Florida - Key West - History</t>
  </si>
  <si>
    <t>Immigrant Children Negotiate School : The Border in Our Hearts</t>
  </si>
  <si>
    <t>https://ebookcentral.proquest.com/lib/viva-active/detail.action?docID=1611672</t>
  </si>
  <si>
    <t>Vukelich-Selva, Donna</t>
  </si>
  <si>
    <t>Latin Americans -- Education -- United States. ; Latin American students -- United States -- Social conditions. ; Immigrant children -- Education -- United States. ; Immigrant children -- United States -- Social conditions.</t>
  </si>
  <si>
    <t>Runaway Daughters : Seduction, Elopement, and Honor in Nineteenth-century Mexico</t>
  </si>
  <si>
    <t>https://ebookcentral.proquest.com/lib/viva-active/detail.action?docID=1613837</t>
  </si>
  <si>
    <t>Sloan, Kathryn A.</t>
  </si>
  <si>
    <t>Seduction -- Mexico -- Oaxaca (State) -- History -- 19th century. ; Young women -- Mexico -- Oaxaca (State) -- History -- 19th century.</t>
  </si>
  <si>
    <t>Secrecy and Insurgency : Socialities and Knowledge Practices in Guatemala</t>
  </si>
  <si>
    <t>https://ebookcentral.proquest.com/lib/viva-active/detail.action?docID=1620028</t>
  </si>
  <si>
    <t>Posocco, Silvia</t>
  </si>
  <si>
    <t>Fuerzas Armadas Rebeldes (Guatemala) ; Guerrillas -- Guatemala -- Social conditions. ; Secrecy -- Social aspects -- Guatemala. ; Ethnology -- Guatemala. ; Guatemala -- History -- Civil War, 1960-1996 -- Peace.</t>
  </si>
  <si>
    <t>Quince Duncan : Writing Afro-Costa Rican and Caribbean Identity</t>
  </si>
  <si>
    <t>https://ebookcentral.proquest.com/lib/viva-active/detail.action?docID=1632048</t>
  </si>
  <si>
    <t>Mosby, Dorothy E.</t>
  </si>
  <si>
    <t>Duncan, Quince, -- 1940- -- Criticism and interpretation. ; Costa Rican literature -- Black authors -- History and criticism.</t>
  </si>
  <si>
    <t>The Border Crossed Us : Rhetorics of Borders, Citizenship, and Latina/o Identity</t>
  </si>
  <si>
    <t>https://ebookcentral.proquest.com/lib/viva-active/detail.action?docID=1635754</t>
  </si>
  <si>
    <t>Cisneros, Josue David</t>
  </si>
  <si>
    <t>Mexican Americans -- Ethnic identity. ; Mexican Americans -- Civil rights -- History. ; Citizenship -- Social aspects. ; Mexican-American Border Region -- Ethnic relations -- History. ; Mexican-American Border Region -- Emigration and immigration.</t>
  </si>
  <si>
    <t>Dream Nation : Puerto Rican Culture and the Fictions of Independence</t>
  </si>
  <si>
    <t>https://ebookcentral.proquest.com/lib/viva-active/detail.action?docID=1637105</t>
  </si>
  <si>
    <t>Acosta Cruz, María</t>
  </si>
  <si>
    <t>Puerto Rican literature - History and criticism</t>
  </si>
  <si>
    <t>Mitchum, Mexico and the Good Neighbours Era</t>
  </si>
  <si>
    <t>https://ebookcentral.proquest.com/lib/viva-active/detail.action?docID=1637175</t>
  </si>
  <si>
    <t>White, Liam</t>
  </si>
  <si>
    <t>Andrews UK Ltd.</t>
  </si>
  <si>
    <t>Mitchum, Robert. ; Motion pictures -- Mexico -- History -- 20th century. ; Motion pictures -- Mexico -- History.</t>
  </si>
  <si>
    <t>A Man Without Words</t>
  </si>
  <si>
    <t>https://ebookcentral.proquest.com/lib/viva-active/detail.action?docID=1637328</t>
  </si>
  <si>
    <t xml:space="preserve">Schaller, Susan;Sacks, Oliver </t>
  </si>
  <si>
    <t>Ildefonso. ; Deaf -- United States -- Biography. ; Mexicans -- United States -- Biography. ; Deaf -- Means of communication.</t>
  </si>
  <si>
    <t>Working Women into the Borderlands</t>
  </si>
  <si>
    <t>https://ebookcentral.proquest.com/lib/viva-active/detail.action?docID=1637622</t>
  </si>
  <si>
    <t>Hernández, Sonia;Evans, Sterling David</t>
  </si>
  <si>
    <t>Connecting the Greater West Series</t>
  </si>
  <si>
    <t>Economic development - Mexican-American Border Region - 20th century</t>
  </si>
  <si>
    <t>Daughters and Granddaughters of Farmworkers : Emerging from the Long Shadow of Farm Labor</t>
  </si>
  <si>
    <t>https://ebookcentral.proquest.com/lib/viva-active/detail.action?docID=1641735</t>
  </si>
  <si>
    <t>Wells, Barbara</t>
  </si>
  <si>
    <t>Mexican American women - Social conditions - California</t>
  </si>
  <si>
    <t>The Politics of Race in Panama : Afro-Hispanic and West Indian Literary Discourses of Contention</t>
  </si>
  <si>
    <t>https://ebookcentral.proquest.com/lib/viva-active/detail.action?docID=1645484</t>
  </si>
  <si>
    <t>Watson, Sonja Stephenson</t>
  </si>
  <si>
    <t>Blacks - Panama</t>
  </si>
  <si>
    <t>Latin America's Radical Left : Challenges and Complexities of Political Power in the Twenty-first Century</t>
  </si>
  <si>
    <t>https://ebookcentral.proquest.com/lib/viva-active/detail.action?docID=1647459</t>
  </si>
  <si>
    <t>Ellner, Steve;Robinson, William I.</t>
  </si>
  <si>
    <t>Latin American Perspectives in the Classroom</t>
  </si>
  <si>
    <t>Radicalism -- Latin America. ; New Left -- Latin America. ; Power (Social sciences) -- Latin America. ; Social movements -- Latin America. ; Latin America -- Politics and government -- 21st century. ; Latin America -- Social conditions -- 21st century.</t>
  </si>
  <si>
    <t>Salvadoran Imaginaries : Mediated Identities and Cultures of Consumption</t>
  </si>
  <si>
    <t>https://ebookcentral.proquest.com/lib/viva-active/detail.action?docID=1651108</t>
  </si>
  <si>
    <t>Rivas, Cecilia M.</t>
  </si>
  <si>
    <t>Salvadoran Americans - Social conditions</t>
  </si>
  <si>
    <t>Living Politics, Making Music : The Writings of Jan Fairley</t>
  </si>
  <si>
    <t>https://ebookcentral.proquest.com/lib/viva-active/detail.action?docID=1652959</t>
  </si>
  <si>
    <t>Fairley, Jan;Christie, Ian;Frith, Edited By Simon;Frith, Professor Simon;Hawkins, Professor Stan;Burns, Professor Lori</t>
  </si>
  <si>
    <t>Ashgate Popular and Folk Music Ser.</t>
  </si>
  <si>
    <t>World music -- History and criticism. ; Popular music -- Chile -- History and criticism. ; Popular music -- Political aspects -- Chile -- History -- 20th century. ; Popular music -- Cuba -- History and criticism.</t>
  </si>
  <si>
    <t>Contextos : Making Aztlán: Ideology and Culture of the Chicana and Chicano Movement, 1966-1977</t>
  </si>
  <si>
    <t>https://ebookcentral.proquest.com/lib/viva-active/detail.action?docID=1656981</t>
  </si>
  <si>
    <t>Gómez-Quiñones, Juan;Vásquez, Irene</t>
  </si>
  <si>
    <t>Contextos Ser.</t>
  </si>
  <si>
    <t>Chicano movement. ; Mexican Americans -- Politics and government -- 20th century. ; Mexican Americans -- Civil rights -- History -- 20th century. ; Mexican Americans -- Social conditions -- 20th century.</t>
  </si>
  <si>
    <t>Mussolini's National Project in Argentina</t>
  </si>
  <si>
    <t>https://ebookcentral.proquest.com/lib/viva-active/detail.action?docID=1659003</t>
  </si>
  <si>
    <t>Aliano, David</t>
  </si>
  <si>
    <t>The Fairleigh Dickinson University Press Series in Italian Studies</t>
  </si>
  <si>
    <t>Argentina - Relations - Italy</t>
  </si>
  <si>
    <t>Dangerous Divide : Peril and Promise on the US-Mexico Border</t>
  </si>
  <si>
    <t>https://ebookcentral.proquest.com/lib/viva-active/detail.action?docID=1661048</t>
  </si>
  <si>
    <t>Eichstaedt, Peter</t>
  </si>
  <si>
    <t>Illegal aliens -- United States. ; Crime -- Mexican-American Border Region. ; Border security -- Mexican-American Border Region. ; Mexican-American Border Region. ; United States -- Emigration and immigration -- Government policy. ; Mexico -- Emigration and immigration -- Government policy.</t>
  </si>
  <si>
    <t>Latino/a Thought : Culture, Politics, and Society</t>
  </si>
  <si>
    <t>https://ebookcentral.proquest.com/lib/viva-active/detail.action?docID=1662974</t>
  </si>
  <si>
    <t>Vázquez, Francisco H.;Vazquez, Francisco H</t>
  </si>
  <si>
    <t>Ethnicity - Political aspects - United States</t>
  </si>
  <si>
    <t>The Dream Fields of Florida : Mexican Farmworkers and the Myth of Belonging</t>
  </si>
  <si>
    <t>https://ebookcentral.proquest.com/lib/viva-active/detail.action?docID=1664190</t>
  </si>
  <si>
    <t>Schmidt, Ella</t>
  </si>
  <si>
    <t>Immigrants - Cultural assimilation - Florida</t>
  </si>
  <si>
    <t>Rastafari Reasoning and the RastaWoman : Gender Constructions in the Shaping of Rastafari Livity</t>
  </si>
  <si>
    <t>https://ebookcentral.proquest.com/lib/viva-active/detail.action?docID=1664624</t>
  </si>
  <si>
    <t>Christensen, Jeanne</t>
  </si>
  <si>
    <t>Critical Africana Studies</t>
  </si>
  <si>
    <t>Women in the Rastafari movement -- Caribbean Area. ; Rastafari movement -- Caribbean Area. ; Feminism -- Caribbean Area. ; Feminism -- Religious aspects.</t>
  </si>
  <si>
    <t>New Directions in Hispanic Linguistics</t>
  </si>
  <si>
    <t>https://ebookcentral.proquest.com/lib/viva-active/detail.action?docID=1676253</t>
  </si>
  <si>
    <t>Orozco, Rafael</t>
  </si>
  <si>
    <t>Spanish language. ; Spanish language -- Social aspects. ; Linguistics.</t>
  </si>
  <si>
    <t>Gender and Violence in Haiti : Women's Path from Victims to Agents</t>
  </si>
  <si>
    <t>https://ebookcentral.proquest.com/lib/viva-active/detail.action?docID=1677577</t>
  </si>
  <si>
    <t>Faedi Duramy, Benedetta</t>
  </si>
  <si>
    <t>Women - Legal status, laws, etc - Haiti</t>
  </si>
  <si>
    <t>Conceiving Cuba : Reproduction, Women, and the State in the Post-Soviet Era</t>
  </si>
  <si>
    <t>https://ebookcentral.proquest.com/lib/viva-active/detail.action?docID=1679060</t>
  </si>
  <si>
    <t>Andaya, Elise</t>
  </si>
  <si>
    <t>Cuba - Population policy</t>
  </si>
  <si>
    <t>Genocide As Social Practice : Reorganizing Society under the Nazis and Argentina's Military Juntas</t>
  </si>
  <si>
    <t>https://ebookcentral.proquest.com/lib/viva-active/detail.action?docID=1680087</t>
  </si>
  <si>
    <t>Feierstein, Daniel;Town, Douglas Andrew;Hinton, Alexander Laban</t>
  </si>
  <si>
    <t>Genocide - Argentina</t>
  </si>
  <si>
    <t>Acknowledged Legislator : Critical Essays on the Poetry of Martín Espada</t>
  </si>
  <si>
    <t>https://ebookcentral.proquest.com/lib/viva-active/detail.action?docID=1680814</t>
  </si>
  <si>
    <t>Carvalho, Edward J.;Azank, Natasha;Croft, Andy;Dowdy, Michael;Hernández, Carmen Dolores;Larochelle, Jeremy;Nelson, Peter;Pérez-Bustillo, Camilo;Salgado, César A.;Salo, Eric B.</t>
  </si>
  <si>
    <t>Espada, Martín, -- 1957- -- Criticism and interpretation.</t>
  </si>
  <si>
    <t>Presidents and Terminal Logic Behavior : Term Limits and Executive Action in the United States, Brazil, and Argentina</t>
  </si>
  <si>
    <t>https://ebookcentral.proquest.com/lib/viva-active/detail.action?docID=1682899</t>
  </si>
  <si>
    <t>Kehoe, Genevieve M.</t>
  </si>
  <si>
    <t>Joseph V. Hughes Jr. and Holly O. Hughes Series on the Presidency and Leadership</t>
  </si>
  <si>
    <t>Administrative procedure - Argentina</t>
  </si>
  <si>
    <t>National Colors : Racial Classification and the State in Latin America</t>
  </si>
  <si>
    <t>https://ebookcentral.proquest.com/lib/viva-active/detail.action?docID=1685670</t>
  </si>
  <si>
    <t>Loveman, Mara</t>
  </si>
  <si>
    <t>Ethnic groups -- Latin America. ; Ethnicity -- Political aspects -- Latin America. ; Demographic surveys -- Political aspects -- Latin America. ; Latin America -- Census -- History.</t>
  </si>
  <si>
    <t>The Militant Song Movement in Latin America : Chile, Uruguay, and Argentina</t>
  </si>
  <si>
    <t>https://ebookcentral.proquest.com/lib/viva-active/detail.action?docID=1687297</t>
  </si>
  <si>
    <t>Vila, Pablo;Carrillo Rodríguez, Illa;Figueredo, María L.;González, Laura Jordán;Juárez, Camila;Karmy Bolton, Eileen;Molinero, Carlos;Morris, Nancy;Trigo, Abril;Vila, Pablo</t>
  </si>
  <si>
    <t>Political ballads and songs -- Latin America -- History and criticism. ; Popular music -- Latin America -- History and criticism.</t>
  </si>
  <si>
    <t>Historical Dictionary of South American Cinema</t>
  </si>
  <si>
    <t>https://ebookcentral.proquest.com/lib/viva-active/detail.action?docID=1687847</t>
  </si>
  <si>
    <t>Rist, Peter H.</t>
  </si>
  <si>
    <t>Motion pictures - South America</t>
  </si>
  <si>
    <t>With a Book in Their Hands : Chicano/a Readers and Readerships Across the Centuries</t>
  </si>
  <si>
    <t>https://ebookcentral.proquest.com/lib/viva-active/detail.action?docID=1691186</t>
  </si>
  <si>
    <t>Martín-Rodríguez, Manuel M.</t>
  </si>
  <si>
    <t>Mexican American authors -- Books and reading. ; American literature -- Mexican American authors -- History and criticism. ; Mexican Americans -- Books and reading. ; Books and reading -- United States. ; Book collecting -- United States.</t>
  </si>
  <si>
    <t>Democratic Renewal and the Mutual Aid Legacy of US Mexicans</t>
  </si>
  <si>
    <t>https://ebookcentral.proquest.com/lib/viva-active/detail.action?docID=1691716</t>
  </si>
  <si>
    <t>Pycior, Julie Leininger</t>
  </si>
  <si>
    <t>Southwest, New - Emigration and immigration</t>
  </si>
  <si>
    <t>Precarious Prescriptions : Contested Histories of Race and Health in North America</t>
  </si>
  <si>
    <t>https://ebookcentral.proquest.com/lib/viva-active/detail.action?docID=1693978</t>
  </si>
  <si>
    <t>Green, Laurie B.;Mckiernan-González, John;Summers, Martin</t>
  </si>
  <si>
    <t>African Americans -- Health and hygiene. ; Hispanic Americans -- Health and hygiene. ; Mexicans -- Health and hygiene -- United States. ; Discrimination in medical care -- North America.</t>
  </si>
  <si>
    <t>Scholars and Southern Californian Immigrants in Dialogue : New Conversations in Public Sociology</t>
  </si>
  <si>
    <t>https://ebookcentral.proquest.com/lib/viva-active/detail.action?docID=1699225</t>
  </si>
  <si>
    <t>Carty, Victoria;Woldemikael, Tekle;Luévano, Rafael;Baker, Harold D.;Cargile, Ivy A. M.;Haynes, Chris;Huerta Medina, Patricia;Macias, Karina;Merolla, Jennifer L.;Noble, Alexandra</t>
  </si>
  <si>
    <t>Immigrants -- California. ; California -- Emigration and immigration.</t>
  </si>
  <si>
    <t>Changes, Conflicts and Ideologies in Contemporary Hispanic Culture</t>
  </si>
  <si>
    <t>https://ebookcentral.proquest.com/lib/viva-active/detail.action?docID=1706885</t>
  </si>
  <si>
    <t xml:space="preserve">Fernández-Ulloa, Teresa;Fernandez-Ulloa, Teresa ;Fernandez-Ulloa, Teresa </t>
  </si>
  <si>
    <t>Spanish literature -- History and criticism. ; Latin American literature -- History and criticism.</t>
  </si>
  <si>
    <t>Masks of Identity : Representing and Performing Otherness in Latin America</t>
  </si>
  <si>
    <t>https://ebookcentral.proquest.com/lib/viva-active/detail.action?docID=1706895</t>
  </si>
  <si>
    <t>Mácha, Přemysl;Pellón,  José Eloy Gómez</t>
  </si>
  <si>
    <t>Social sciences -- Latin America.</t>
  </si>
  <si>
    <t>Frida Kahlo</t>
  </si>
  <si>
    <t>https://ebookcentral.proquest.com/lib/viva-active/detail.action?docID=1707063</t>
  </si>
  <si>
    <t>Ankori, Gannit</t>
  </si>
  <si>
    <t>Kahlo, Frida. ; Kahlo, Frida -- Criticism and interpretation. ; Women artists -- Mexico -- 20th century -- Biography.</t>
  </si>
  <si>
    <t>Toxic Injustice : A Transnational History of Exposure and Struggle</t>
  </si>
  <si>
    <t>https://ebookcentral.proquest.com/lib/viva-active/detail.action?docID=1711029</t>
  </si>
  <si>
    <t>Bohme, Susanna Rankin</t>
  </si>
  <si>
    <t>Social Science; Environmental Studies; Health</t>
  </si>
  <si>
    <t>Dibromochloropropane -- Toxicology. ; Dibromochloropropane -- Health aspects -- Law and legislation. ; Agricultural laborers -- Health and hygiene. ; Environmental justice. ; Fruit trade -- Health aspects -- Law and legislation.</t>
  </si>
  <si>
    <t>Abrazando el Espíritu : Bracero Families Confront the US-Mexico Border</t>
  </si>
  <si>
    <t>https://ebookcentral.proquest.com/lib/viva-active/detail.action?docID=1711049</t>
  </si>
  <si>
    <t>Rosas, Ana Elizabeth</t>
  </si>
  <si>
    <t>Foreign workers, Mexican -- Family relationships -- United States -- History -- 20th century. ; Migrant agricultural laborers -- Family relationships -- United States -- History -- 20th century. ; Mexicans -- United States -- Social conditions -- 20th century. ; Families -- Mexico -- Social conditions -- 20th century. ; Immigrant families -- United States -- Social conditions -- 20th century. ; Mexico -- Emigration and immigration -- Social aspects. ; United States -- Emigration and immigration -- Social aspects.</t>
  </si>
  <si>
    <t>Secure the Soul : Christian Piety and Gang Prevention in Guatemala</t>
  </si>
  <si>
    <t>https://ebookcentral.proquest.com/lib/viva-active/detail.action?docID=1711060</t>
  </si>
  <si>
    <t>O'Neill, Kevin Lewis</t>
  </si>
  <si>
    <t>Gang prevention -- Guatemala -- Guatemala. ; Church and social problems -- Guatemala -- Guatemala.</t>
  </si>
  <si>
    <t>Revolutionary Subjects : German Literatures, Geoculture, and the Limits of Aesthetic Solidarity with Latin America</t>
  </si>
  <si>
    <t>https://ebookcentral.proquest.com/lib/viva-active/detail.action?docID=1713053</t>
  </si>
  <si>
    <t>Trnka, Jamie Helene</t>
  </si>
  <si>
    <t>Interdisciplinary German Cultural Studies</t>
  </si>
  <si>
    <t>Enzensberger, Hans Magnus -- Criticism and interpretation. ; Braun, Volker, -- 1939- -- Criticism and interpretation. ; Müller, Heiner, -- 1929-1995 -- Criticism and interpretation. ; Delius, Friedrich Christian, -- 1943- -- Criticism and interpretation. ; German literature -- 20th century -- History and criticism. ; Politics in literature. ; Latin America -- In literature.</t>
  </si>
  <si>
    <t>Pregones Theatre : A Theatre for Social Change in the South Bronx</t>
  </si>
  <si>
    <t>https://ebookcentral.proquest.com/lib/viva-active/detail.action?docID=1717687</t>
  </si>
  <si>
    <t>Vásquez, Eva Cristina;Vásquez, Eva Cristina</t>
  </si>
  <si>
    <t>Latino Communities: Emerging Voices - Political, Social, Cultural and Legal Issues Ser.</t>
  </si>
  <si>
    <t>Hispanic American theater - United States - History - 20th century</t>
  </si>
  <si>
    <t>Peruvian Archaeology : A Critical History</t>
  </si>
  <si>
    <t>https://ebookcentral.proquest.com/lib/viva-active/detail.action?docID=1718191</t>
  </si>
  <si>
    <t>Tantaleán, Henry;Stanish, Lloyd Cotsen Chair in Archaeology and Director of the Cotsen Institute of Archaeology Charles;Stanish, Lloyd Cotsen Chair in Archaeology and Director of the Cotsen Institute of Archaeology Charles</t>
  </si>
  <si>
    <t>Archaeology -- Peru -- History. ; Excavations (Archaeology) -- Peru -- History. ; Archaeological expeditions -- Peru -- History.</t>
  </si>
  <si>
    <t>Continuity Despite Change : The Politics of Labor Regulation in Latin America</t>
  </si>
  <si>
    <t>https://ebookcentral.proquest.com/lib/viva-active/detail.action?docID=1719954</t>
  </si>
  <si>
    <t>Carnes, Matthew E.</t>
  </si>
  <si>
    <t>Labor laws and legislation -- Latin America. ; Labor policy -- Latin America.</t>
  </si>
  <si>
    <t>Otherness in Hispanic Culture</t>
  </si>
  <si>
    <t>https://ebookcentral.proquest.com/lib/viva-active/detail.action?docID=1724952</t>
  </si>
  <si>
    <t>Ulloa, Teresa Fernández</t>
  </si>
  <si>
    <t>Philosophy</t>
  </si>
  <si>
    <t>Other (Philosophy) ; Other (Philosophy) -- Social aspects.</t>
  </si>
  <si>
    <t>Twenty-First Century Latin American Narrative and Postmodern Feminism</t>
  </si>
  <si>
    <t>https://ebookcentral.proquest.com/lib/viva-active/detail.action?docID=1724975</t>
  </si>
  <si>
    <t xml:space="preserve">Leon, Gina Ponce de;Leon, Gina Ponce De </t>
  </si>
  <si>
    <t>Latin American literature -- 21st century -- History and criticism. ; Postmodernism (Literature) -- Latin America. ; Feminist literature -- Latin America -- History and criticism.</t>
  </si>
  <si>
    <t>Reimagining the Caribbean : Conversations among the Creole, English, French, and Spanish Caribbean</t>
  </si>
  <si>
    <t>https://ebookcentral.proquest.com/lib/viva-active/detail.action?docID=1728022</t>
  </si>
  <si>
    <t>Orlando, Valérie K.;Cypess, Sandra;Accilien, Cécile;Dieudé, Aude;François, Anne M.;Maisier, Véronique;Paravisini-Gebert, Lizabeth;Russ, Elizabeth;Slagle, Krista;Stevens, Camilla</t>
  </si>
  <si>
    <t>After the Empire: The Francophone World and Postcolonial France</t>
  </si>
  <si>
    <t>History; Literature</t>
  </si>
  <si>
    <t>Cultural pluralism - Caribbean Area</t>
  </si>
  <si>
    <t>Evangelicalism and Masculinity : Faith and Gender in El Salvador</t>
  </si>
  <si>
    <t>https://ebookcentral.proquest.com/lib/viva-active/detail.action?docID=1732038</t>
  </si>
  <si>
    <t>Santos, Jose Leonardo</t>
  </si>
  <si>
    <t>Evangelistic work - El Salvador - History</t>
  </si>
  <si>
    <t>Diálogos Series : Africans into Creoles : Slavery, Ethnicity, and Identity in Colonial Costa Rica</t>
  </si>
  <si>
    <t>https://ebookcentral.proquest.com/lib/viva-active/detail.action?docID=1734292</t>
  </si>
  <si>
    <t xml:space="preserve">Lohse, Russell;Lane, Kris </t>
  </si>
  <si>
    <t>Slavery -- Costa Rica -- History. ; Plantation life -- Costa Rica -- History. ; Slaves -- Costa Rica -- History. ; Slaves -- Costa Rica -- Social conditions. ; Blacks -- Costa Rica -- History. ; Africans -- Costa Rica -- History. ; Creoles -- Costa Rica -- History.</t>
  </si>
  <si>
    <t>A Contemporary Cuba Reader : The Revolution under Raúl Castro</t>
  </si>
  <si>
    <t>https://ebookcentral.proquest.com/lib/viva-active/detail.action?docID=1742616</t>
  </si>
  <si>
    <t>Brenner, Philip;Jiménez, Marguerite Rose;Kirk, John M.;LeoGrande, William M.</t>
  </si>
  <si>
    <t>Cuba -- History -- 1990-</t>
  </si>
  <si>
    <t>The River People in Flood Time : The Civil Wars in Tabasco, Spoiler of Empires</t>
  </si>
  <si>
    <t>https://ebookcentral.proquest.com/lib/viva-active/detail.action?docID=1742623</t>
  </si>
  <si>
    <t>Tabasco (Mexico : State) -- History -- 19th century. ; Mexico -- History -- 19th century.</t>
  </si>
  <si>
    <t>Populist Seduction in Latin America</t>
  </si>
  <si>
    <t>https://ebookcentral.proquest.com/lib/viva-active/detail.action?docID=1743692</t>
  </si>
  <si>
    <t>Torre, Carlos de la</t>
  </si>
  <si>
    <t>Ohio University Press</t>
  </si>
  <si>
    <t>Research in International Studies, Latin America Ser.</t>
  </si>
  <si>
    <t>Political culture - Ecuador</t>
  </si>
  <si>
    <t>The National Council on Indian Opportunity : Quiet Champion of Self-Determination</t>
  </si>
  <si>
    <t>https://ebookcentral.proquest.com/lib/viva-active/detail.action?docID=1744772</t>
  </si>
  <si>
    <t>Britten, Thomas A.</t>
  </si>
  <si>
    <t>National Council on Indian Opportunity (U.S.) -- History. ; Indians of North America -- Government relations -- History -- 20th century. ; Indians of North America -- Politics and government -- 20th century. ; Self-determination, National -- United States -- History -- 20th century. ; Indian land transfers -- United States.</t>
  </si>
  <si>
    <t>When Sugar Ruled : Economy and Society in Northwestern Argentina, Tucumán, 1876/1916</t>
  </si>
  <si>
    <t>https://ebookcentral.proquest.com/lib/viva-active/detail.action?docID=1746159</t>
  </si>
  <si>
    <t>Juarez-Dappe, Patricia Isabel</t>
  </si>
  <si>
    <t>Sugar trade -- Argentina -- Tucumán -- History -- 19th century. ; Sugar trade -- Argentina -- Tucumán -- History -- 20th century. ; Tucumán (Argentina) -- Economic conditions -- 19th century. ; Tucumán (Argentina) -- Economic conditions -- 20th century. ; Tucumán (Argentina) -- Social conditions. ; Tucumán (Argentina) -- Politics and government. ; Argentina -- Politics and government -- 1860-1910.</t>
  </si>
  <si>
    <t>Directory of World Cinema: Brazil</t>
  </si>
  <si>
    <t>https://ebookcentral.proquest.com/lib/viva-active/detail.action?docID=1747047</t>
  </si>
  <si>
    <t>Bayman, Louis;Pinazza, Natalia</t>
  </si>
  <si>
    <t>Intellect Books Ltd</t>
  </si>
  <si>
    <t>Directory of World Cinema Series</t>
  </si>
  <si>
    <t>Motion pictures -- Brazil -- History. ; Motion pictures -- Brazil. ; Film.</t>
  </si>
  <si>
    <t>The Unending Hunger : Tracing Women and Food Insecurity Across Borders</t>
  </si>
  <si>
    <t>https://ebookcentral.proquest.com/lib/viva-active/detail.action?docID=1747546</t>
  </si>
  <si>
    <t>Carney, Megan A.</t>
  </si>
  <si>
    <t>Food security - Government policy - United States</t>
  </si>
  <si>
    <t>Peripheral Visions : Politics, Society, and the Challenges of Modernity in Yucatan</t>
  </si>
  <si>
    <t>https://ebookcentral.proquest.com/lib/viva-active/detail.action?docID=1758199</t>
  </si>
  <si>
    <t>Terry, Edward D.;Baklanoff, Eric N.;Delpar, Helen;Eiss, Paul K.;Fallaw, Ben W.;Joseph, Gilbert M.;Lapointe, Marie;Morrison, Lynda S.;Moseley, Edward H.;Ramirez, Othon Banos</t>
  </si>
  <si>
    <t>Catholic Church - Mexico - Yucatan (State) - History</t>
  </si>
  <si>
    <t>Del Otro Lado : Literacy and Migration Across the U. S. -Mexico Border</t>
  </si>
  <si>
    <t>https://ebookcentral.proquest.com/lib/viva-active/detail.action?docID=1760632</t>
  </si>
  <si>
    <t>Meyers, Susan V.</t>
  </si>
  <si>
    <t>Mexican Americans -- Education -- United States -- Case studies. ; Education -- Mexico -- Villachuato -- Case studies. ; Literacy -- Social aspects -- United States -- Case studies. ; Villachuato (Mexico) -- Emigration and immigration -- Case studies.</t>
  </si>
  <si>
    <t>Crime At El Escorial : The 1892 Child Murder, the Press, and the Jury</t>
  </si>
  <si>
    <t>https://ebookcentral.proquest.com/lib/viva-active/detail.action?docID=1762220</t>
  </si>
  <si>
    <t>Walker , D.J.</t>
  </si>
  <si>
    <t>Journalism; Social Science</t>
  </si>
  <si>
    <t>Trials - Spain</t>
  </si>
  <si>
    <t>Searching for Madre Matiana : Prophecy and Popular Culture in Modern Mexico</t>
  </si>
  <si>
    <t>https://ebookcentral.proquest.com/lib/viva-active/detail.action?docID=1762840</t>
  </si>
  <si>
    <t xml:space="preserve">Wright-Rios, Edward;Lane, Kris </t>
  </si>
  <si>
    <t>Matiana, -- Madre -- Prophecies. ; Catholic Church -- Mexico -- History. ; Women in the Catholic Church -- Mexico -- History. ; Mexico -- Church history -- 19th century. ; Mexico -- History -- Prophecies.</t>
  </si>
  <si>
    <t>Spanish Humanism on the Verge of the Picaresque : Juan Maldonado's Ludus Chartarum, Pastor Bonus and Bacchanalia</t>
  </si>
  <si>
    <t>https://ebookcentral.proquest.com/lib/viva-active/detail.action?docID=1762978</t>
  </si>
  <si>
    <t>Smith, Warren;Clark, C.</t>
  </si>
  <si>
    <t>Leuven University Press</t>
  </si>
  <si>
    <t>Supplementa Humanistica Lovaniensia Ser.</t>
  </si>
  <si>
    <t>Maldonado, Juan, -- ca. 1485-1554. ; Maldonado, Juan, -- ca. 1485-1554. -- Ludus Chartarum. ; Maldonado, Juan, -- ca. 1485-1554. -- Pastor Bonus. ; Maldonado, Juan, -- ca. 1485-1554. -- Bacchanalia. ; Latin literature, Medieval and modern -- History and criticism. ; Picaresque literature, Spanish -- History and criticism.</t>
  </si>
  <si>
    <t>Luso-Brazilian Encounters of the Sixteenth Century : A Styles of Thinking Approach</t>
  </si>
  <si>
    <t>https://ebookcentral.proquest.com/lib/viva-active/detail.action?docID=1767212</t>
  </si>
  <si>
    <t>Zir, Alessandro</t>
  </si>
  <si>
    <t>Neoplatonism - History - 16th century</t>
  </si>
  <si>
    <t>Ambivalent Desires : Representations of Modernity and Private Life in Colombia (1890s-1950s)</t>
  </si>
  <si>
    <t>https://ebookcentral.proquest.com/lib/viva-active/detail.action?docID=1767215</t>
  </si>
  <si>
    <t>Andrade, María Mercedes</t>
  </si>
  <si>
    <t>Modernism (Literature) - Colombia</t>
  </si>
  <si>
    <t>The Last Best Place? : Gender, Family, and Migration in the New West</t>
  </si>
  <si>
    <t>https://ebookcentral.proquest.com/lib/viva-active/detail.action?docID=1770086</t>
  </si>
  <si>
    <t>Schmalzbauer, Leah</t>
  </si>
  <si>
    <t>Migrant labor -- Montana, Western -- Social conditions. ; Migrant labor -- Montana, Western -- Economic conditions. ; Migrant laborers'' families -- Montana, Western -- Social conditions. ; Migrant laborers'' families -- Montana, Western -- Economic conditions. ; Foreign workers, Mexican -- Montana, Western -- Social conditions.</t>
  </si>
  <si>
    <t>Caribbeing : Comparing Caribbean Literatures and Cultures</t>
  </si>
  <si>
    <t>https://ebookcentral.proquest.com/lib/viva-active/detail.action?docID=1770766</t>
  </si>
  <si>
    <t>van Haesendonck, Kristian;D'haen, Theo</t>
  </si>
  <si>
    <t>Textxet: Studies in Comparative Literature Ser.</t>
  </si>
  <si>
    <t>Caribbean literature -- History and criticism. ; Cross-cultural studies -- Caribbean Area. ; Caribbean Area -- Civilization -- History and criticism.</t>
  </si>
  <si>
    <t>Competition Law and Policy in Latin America</t>
  </si>
  <si>
    <t>https://ebookcentral.proquest.com/lib/viva-active/detail.action?docID=1772461</t>
  </si>
  <si>
    <t xml:space="preserve">Fox, Eleanor;Sokol, Daniel;Sokol, Associate Professor D Daniel;Cordovil, Leonor ;Coloma, German ;Gutierrez, Juan David ;Villamayor, Victor Pavon ;Crane, Dan ;Cooper, James ;Arguello, Ricardo </t>
  </si>
  <si>
    <t>Bloomsbury Publishing Plc</t>
  </si>
  <si>
    <t>Competition, Unfair -- Latin America. ; Competition, Unfair -- Government policy -- Latin America.</t>
  </si>
  <si>
    <t>The Virgin of Guadalupe and the Conversos : Uncovering Hidden Influences from Spain to Mexico</t>
  </si>
  <si>
    <t>https://ebookcentral.proquest.com/lib/viva-active/detail.action?docID=1774123</t>
  </si>
  <si>
    <t xml:space="preserve">Hernández, Marie-Theresa;Hernandez, Marie-Theresa </t>
  </si>
  <si>
    <t>Espinosa de los Monteros, Manuel</t>
  </si>
  <si>
    <t>Skills of the Unskilled : Work and Mobility among Mexican Migrants</t>
  </si>
  <si>
    <t>https://ebookcentral.proquest.com/lib/viva-active/detail.action?docID=1775223</t>
  </si>
  <si>
    <t xml:space="preserve">Hagan, Jacqueline;Hernandez-Leon, Ruben ;Demonsant, Jean-Luc </t>
  </si>
  <si>
    <t>Foreign workers, Mexican -- United States. ; Labor market -- Emigration and immigration. ; Guanajuato (Mexico) -- Emigration and immigration -- Social aspects. ; United States -- Emigration and immigration -- Social aspects.</t>
  </si>
  <si>
    <t>Cuban Health Care : Utopian Dreams, Fragile Future</t>
  </si>
  <si>
    <t>https://ebookcentral.proquest.com/lib/viva-active/detail.action?docID=1775987</t>
  </si>
  <si>
    <t>Ullmann, Steven;Spooner, Mary Helen</t>
  </si>
  <si>
    <t>Health; Social Science; Religion</t>
  </si>
  <si>
    <t>Quality of Health Care - Cuba</t>
  </si>
  <si>
    <t>Screening Minors in Latin American Cinema</t>
  </si>
  <si>
    <t>https://ebookcentral.proquest.com/lib/viva-active/detail.action?docID=1776001</t>
  </si>
  <si>
    <t>Rocha, Carolina;Seminet, Georgia;Draper III, Jack A.,;Dufays, Sophie;Garðarsdóttir, Hólmfríður;Holmes, Amanda;Josiowicz, Alejandra;Kroll, Juli A.;Pino-Ojeda, Walescka;Randall, Rachel</t>
  </si>
  <si>
    <t>Motion pictures -- Latin America -- History -- 20th century. ; Motion pictures -- Latin America. ; Motion pictures -- Social aspects -- Latin America.</t>
  </si>
  <si>
    <t>Female Amerindians in Early Modern Spanish Theater</t>
  </si>
  <si>
    <t>https://ebookcentral.proquest.com/lib/viva-active/detail.action?docID=1776259</t>
  </si>
  <si>
    <t>Robalino, Gladys;Caballero , Judith G.;Cowling, Erin Alice;Feit, Ronna;Fernandez, Esther;Ferrer-Lightner, María;Figueroa, Melissa;Nieto-Cuebas, Glenda;Taub, María Luisa Quiroz;Castillo, Moisés R.</t>
  </si>
  <si>
    <t>Indian women in literature</t>
  </si>
  <si>
    <t>Accounting in Latin America</t>
  </si>
  <si>
    <t>https://ebookcentral.proquest.com/lib/viva-active/detail.action?docID=1780813</t>
  </si>
  <si>
    <t>Wanderley, Claudio;Frezatti, Fabio;Tsamenyi, Mathew;Uddin, Shahzad</t>
  </si>
  <si>
    <t>Research in Accounting in Emerging Economies Ser.</t>
  </si>
  <si>
    <t>Accounting -- Latin America.</t>
  </si>
  <si>
    <t>Land and Freedom : The MST, the Zapatistas and Peasant Alternatives to Neoliberalism</t>
  </si>
  <si>
    <t>https://ebookcentral.proquest.com/lib/viva-active/detail.action?docID=1782247</t>
  </si>
  <si>
    <t>Vergara-Camus, Leandro</t>
  </si>
  <si>
    <t>Neoliberalism.</t>
  </si>
  <si>
    <t>Binominal Quantifiers in Spanish : Conceptually-Driven Analogy in Diachrony and Synchrony</t>
  </si>
  <si>
    <t>https://ebookcentral.proquest.com/lib/viva-active/detail.action?docID=1787191</t>
  </si>
  <si>
    <t>Verveckken, Katrien Dora</t>
  </si>
  <si>
    <t>Beihefte Zur Zeitschrift Für Romanische Philologie Ser.</t>
  </si>
  <si>
    <t>Spanish language -- Nominals. ; Spanish language -- Qualifiers. ; Spanish language -- Topic and comment.</t>
  </si>
  <si>
    <t>Sociolinguistic Development of Voseo in the Andean Region of Colombia</t>
  </si>
  <si>
    <t>https://ebookcentral.proquest.com/lib/viva-active/detail.action?docID=1787224</t>
  </si>
  <si>
    <t>Díaz Collazos, Ana María</t>
  </si>
  <si>
    <t>Vos (The Spanish word) ; Spanish language -- Andes Region -- History.</t>
  </si>
  <si>
    <t>Diálogos Series : Women Drug Traffickers : Mules, Bosses, and Organized Crime</t>
  </si>
  <si>
    <t>https://ebookcentral.proquest.com/lib/viva-active/detail.action?docID=1789183</t>
  </si>
  <si>
    <t xml:space="preserve">Carey, Elaine;Lane, Kris </t>
  </si>
  <si>
    <t>Drug dealers -- Mexico -- History -- 20th century. ; Female offenders -- Mexico -- History -- 20th century. ; Drug traffic -- Mexico -- History -- 20th century. ; Drug abuse and crime -- Mexico -- History -- 20th century.</t>
  </si>
  <si>
    <t>The Concession of Évora Monte : The Failure of Liberalism in Nineteenth-Century Portugal</t>
  </si>
  <si>
    <t>https://ebookcentral.proquest.com/lib/viva-active/detail.action?docID=1790824</t>
  </si>
  <si>
    <t>Thomson, Ron B.</t>
  </si>
  <si>
    <t>Concessions - Portugal - History - 19th century</t>
  </si>
  <si>
    <t>Brazilian Propaganda : Legitimizing an Authoritarian Regime</t>
  </si>
  <si>
    <t>https://ebookcentral.proquest.com/lib/viva-active/detail.action?docID=1792820</t>
  </si>
  <si>
    <t>Schneider, Nina</t>
  </si>
  <si>
    <t>Brazil - Propaganda</t>
  </si>
  <si>
    <t>Jornalero : Being a Day Laborer in the USA</t>
  </si>
  <si>
    <t>https://ebookcentral.proquest.com/lib/viva-active/detail.action?docID=1794093</t>
  </si>
  <si>
    <t>Ordonez, Juan Thomas</t>
  </si>
  <si>
    <t>Political Science; Economics</t>
  </si>
  <si>
    <t>Illegal aliens - Employment - California - Berkeley</t>
  </si>
  <si>
    <t>Massacre of the Dreamers : Essays on Xicanisma</t>
  </si>
  <si>
    <t>https://ebookcentral.proquest.com/lib/viva-active/detail.action?docID=1794563</t>
  </si>
  <si>
    <t>Castillo, Ana;Pinkola Estés, Clarissa</t>
  </si>
  <si>
    <t>Mexican American women. ; Feminism -- United States.</t>
  </si>
  <si>
    <t>Colonial Rosary : The Spanish and Indian Missions of California</t>
  </si>
  <si>
    <t>https://ebookcentral.proquest.com/lib/viva-active/detail.action?docID=1794571</t>
  </si>
  <si>
    <t>Lake, Alison</t>
  </si>
  <si>
    <t>Franciscans -- California -- History. ; Missions, Spanish -- California -- History. ; Indians of North America -- Missions -- California -- History. ; Spaniards -- California -- History. ; California -- History -- To 1846. ; California -- Social life and customs. ; California -- Race relations.</t>
  </si>
  <si>
    <t>Victims of Time, Warriors for Change : Chilean Women in a Global, Neoliberal Society</t>
  </si>
  <si>
    <t>https://ebookcentral.proquest.com/lib/viva-active/detail.action?docID=1800503</t>
  </si>
  <si>
    <t>Clark, Evelyn A.</t>
  </si>
  <si>
    <t>Women -- Chile -- Social conditions. ; Women -- Political activity -- Chile. ; Chile -- Economic conditions -- 20th century.</t>
  </si>
  <si>
    <t>Baby Boomers of Color : Implications for Social Work Policy and Practice</t>
  </si>
  <si>
    <t>https://ebookcentral.proquest.com/lib/viva-active/detail.action?docID=1801701</t>
  </si>
  <si>
    <t>Minority older people</t>
  </si>
  <si>
    <t>Living with Insecurity in a Brazilian Favela : Urban Violence and Daily Life</t>
  </si>
  <si>
    <t>https://ebookcentral.proquest.com/lib/viva-active/detail.action?docID=1809809</t>
  </si>
  <si>
    <t xml:space="preserve">Penglase, R. Ben;Penglase, R Ben </t>
  </si>
  <si>
    <t>Drug traffic - Social aspects - Brazil - Rio de Janeiro</t>
  </si>
  <si>
    <t>Family Activism : Immigrant Struggles and the Politics of Noncitizenship</t>
  </si>
  <si>
    <t>https://ebookcentral.proquest.com/lib/viva-active/detail.action?docID=1809810</t>
  </si>
  <si>
    <t>Pallares, Amalia</t>
  </si>
  <si>
    <t>Immigrant families - Illinois - Chicago</t>
  </si>
  <si>
    <t>The Reappeared : Argentine Former Political Prisoners</t>
  </si>
  <si>
    <t>https://ebookcentral.proquest.com/lib/viva-active/detail.action?docID=1809811</t>
  </si>
  <si>
    <t>Park, Rebekah</t>
  </si>
  <si>
    <t>Political prisoners - Argentina - History</t>
  </si>
  <si>
    <t>Latin American Philosophy from Identity to Radical Exteriority</t>
  </si>
  <si>
    <t>https://ebookcentral.proquest.com/lib/viva-active/detail.action?docID=1809826</t>
  </si>
  <si>
    <t>Vallega, Alejandro Arturo</t>
  </si>
  <si>
    <t>World Philosophies Ser.</t>
  </si>
  <si>
    <t>Philosophy, Latin American</t>
  </si>
  <si>
    <t>Fútbol, Jews, and the Making of Argentina</t>
  </si>
  <si>
    <t>https://ebookcentral.proquest.com/lib/viva-active/detail.action?docID=1811867</t>
  </si>
  <si>
    <t>Rein, Raanan</t>
  </si>
  <si>
    <t>Club Atlético Atlanta (Soccer team) -- History. ; Soccer teams -- Argentina -- Buenos Aires -- History. ; Jews -- Sports -- Argentina -- Buenos Aires -- History. ; Jews -- Argentina -- Buenos Aires -- Identity -- History. ; Soccer -- Social aspects -- Argentina -- Buenos Aires -- History.</t>
  </si>
  <si>
    <t>World Film Locations : Buenos Aires</t>
  </si>
  <si>
    <t>https://ebookcentral.proquest.com/lib/viva-active/detail.action?docID=1812467</t>
  </si>
  <si>
    <t>Oyarzabal, Santiago;Pigott, Michael</t>
  </si>
  <si>
    <t>Intellect</t>
  </si>
  <si>
    <t>World Film Locations</t>
  </si>
  <si>
    <t>Business/Management; Fine Arts</t>
  </si>
  <si>
    <t>Motion picture locations -- Argentina.</t>
  </si>
  <si>
    <t>Autobiography in Black and Brown : Ethnic Identity in Richard Wright and Richard Rodriguez</t>
  </si>
  <si>
    <t>https://ebookcentral.proquest.com/lib/viva-active/detail.action?docID=1815860</t>
  </si>
  <si>
    <t>García, Michael Nieto</t>
  </si>
  <si>
    <t>Wright, Richard, -- 1908-1960 -- Criticism and interpretation. ; Rodriguez, Richard, -- 1944- -- Criticism and interpretation. ; African Americans in literature. ; Mexican Americans in literature. ; Ethnicity in literature. ; Autobiography in literature.</t>
  </si>
  <si>
    <t>¡Tequila! : Distilling the Spirit of Mexico</t>
  </si>
  <si>
    <t>https://ebookcentral.proquest.com/lib/viva-active/detail.action?docID=1817032</t>
  </si>
  <si>
    <t>Gaytán, Marie Sarita</t>
  </si>
  <si>
    <t>Engineering: Chemical; Engineering</t>
  </si>
  <si>
    <t>Tequila -- Mexico -- History. ; Alcoholic beverages -- Mexico -- History. ; Drinking of alcoholic beverages -- Mexico -- History. ; National characteristics, Mexican.</t>
  </si>
  <si>
    <t>Analyzing Public Policies in Latin America : A Cognitive Approach</t>
  </si>
  <si>
    <t>https://ebookcentral.proquest.com/lib/viva-active/detail.action?docID=1819235</t>
  </si>
  <si>
    <t>Lukic, Melina Rocha;Tomazini,  Carla</t>
  </si>
  <si>
    <t>Democracy -- Latin America. ; Latin America -- Commercial policy. ; Latin America -- Economic policy.</t>
  </si>
  <si>
    <t>Love, Family and Friendship : A Latin American Perspective</t>
  </si>
  <si>
    <t>https://ebookcentral.proquest.com/lib/viva-active/detail.action?docID=1821891</t>
  </si>
  <si>
    <t>Garcia, Agnaldo</t>
  </si>
  <si>
    <t>Family. ; Love. ; Parent and child.</t>
  </si>
  <si>
    <t>Iran's Strategic Penetration of Latin America</t>
  </si>
  <si>
    <t>https://ebookcentral.proquest.com/lib/viva-active/detail.action?docID=1821906</t>
  </si>
  <si>
    <t>Humire, Joseph M.;Berman, Ilan;Uribe Vélez, Álvaro;Berman, Ilan;Coutinho, Leonardo;Hirst, Joel;Humire, Joseph M.;Naveira, Diego C.;Obiglio, Julián M.;Oliva, Adrián</t>
  </si>
  <si>
    <t>Iran - Foreign relations - 1979-</t>
  </si>
  <si>
    <t>Spanish in Bilingual and Multilingual Settings Around the World</t>
  </si>
  <si>
    <t>https://ebookcentral.proquest.com/lib/viva-active/detail.action?docID=1823632</t>
  </si>
  <si>
    <t>Thompson, Gregory;Lamboy, Edwin</t>
  </si>
  <si>
    <t>Spanish language -- Social aspects. ; Multilingualism -- Social aspects.</t>
  </si>
  <si>
    <t>At the End of the Road : Jack Kerouac in Mexico</t>
  </si>
  <si>
    <t>https://ebookcentral.proquest.com/lib/viva-active/detail.action?docID=1826645</t>
  </si>
  <si>
    <t>García-Robles, Jorge;Schechter, Daniel C.</t>
  </si>
  <si>
    <t>Kerouac, Jack, -- 1922-1969 -- Travel -- Mexico. ; Authors, American -- 20th century -- Biography. ; Americans -- Mexico -- Biography. ; Beat generation -- Biography.</t>
  </si>
  <si>
    <t>Upsetting the Apple Cart : Black-Latino Coalitions in New York City from Protest to Public Office</t>
  </si>
  <si>
    <t>https://ebookcentral.proquest.com/lib/viva-active/detail.action?docID=1830705</t>
  </si>
  <si>
    <t>Opie, Frederick</t>
  </si>
  <si>
    <t>Columbia History of Urban Life</t>
  </si>
  <si>
    <t>African Americans - New York (State) - New York - Relations with Hispanic Americans</t>
  </si>
  <si>
    <t>Boom, Bust, Exodus : The Rust Belt, the Maquilas, and a Tale of Two Cities</t>
  </si>
  <si>
    <t>https://ebookcentral.proquest.com/lib/viva-active/detail.action?docID=1832535</t>
  </si>
  <si>
    <t>Broughton, Chad</t>
  </si>
  <si>
    <t>Maytag Corporation -- Employees. ; Working class -- Illinois -- Galesburg. ; Working class -- Mexico -- Reynosa (Tamaulipas) ; Offshore assembly industry -- Mexico -- Reynosa (Tamaulipas) ; Globalization -- Social aspects -- Illinois -- Galesburg. ; Globalization -- Social aspects -- Mexico -- Reynosa (Tamaulipas) ; Galesburg (Ill.) -- Economic conditions.</t>
  </si>
  <si>
    <t>Immigration and National Identities in Latin America</t>
  </si>
  <si>
    <t>https://ebookcentral.proquest.com/lib/viva-active/detail.action?docID=1833893</t>
  </si>
  <si>
    <t>Foote, Nicola;Goebel, Michael</t>
  </si>
  <si>
    <t>Nationalism -- Latin America. ; Latin America -- Emigration and immigration.</t>
  </si>
  <si>
    <t>Seen and Heard in Mexico : Children and Revolutionary Cultural Nationalism</t>
  </si>
  <si>
    <t>https://ebookcentral.proquest.com/lib/viva-active/detail.action?docID=1839873</t>
  </si>
  <si>
    <t>Albarran, Elena Jackson</t>
  </si>
  <si>
    <t>Mexico - History - 1910-1946</t>
  </si>
  <si>
    <t>La Florida : Five Hundred Years of Hispanic Presence</t>
  </si>
  <si>
    <t>https://ebookcentral.proquest.com/lib/viva-active/detail.action?docID=1843621</t>
  </si>
  <si>
    <t>Balsera, Viviana Diaz;May, Rachel A.</t>
  </si>
  <si>
    <t>Spanish Americans - Florida - History</t>
  </si>
  <si>
    <t>Autobiographical Writing by Early Modern Hispanic Women</t>
  </si>
  <si>
    <t>https://ebookcentral.proquest.com/lib/viva-active/detail.action?docID=1843667</t>
  </si>
  <si>
    <t>Howe, Elizabeth Teresa;Poska, Professor Allyson M;Zanger, Professor Abby</t>
  </si>
  <si>
    <t>Women and Gender in the Early Modern World</t>
  </si>
  <si>
    <t>Spanish literature -- Classical period, 1500-1700 -- History and criticism. ; Spanish literature -- Women authors -- History and criticism. ; Autobiography -- Authorship. ; Spanish literature -- Mexico -- History and criticism.</t>
  </si>
  <si>
    <t>Ofrenda : Liliana Wilson's Art of Dissidence and Dreams</t>
  </si>
  <si>
    <t>https://ebookcentral.proquest.com/lib/viva-active/detail.action?docID=1848018</t>
  </si>
  <si>
    <t>Cantú, Norma E.;Wilson, Liliana;Romo, Ricardo;Castañeda, Antonia;Anzaldúa, Gloria;Agosín, Marjorie;Turner, Kay;de Alba, Alicia Gaspar;Latorre, Guisela;Vargas, George</t>
  </si>
  <si>
    <t>Joe and Betty Moore Texas Art Series</t>
  </si>
  <si>
    <t>Wilson, Liliana, -- 1953- ; Wilson, Liliana, -- 1953- -- Themes, motives. ; Women artists -- Texas -- Austin. ; Chilean American women -- Texas -- Austin. ; Painting, American -- Texas -- 20th century. ; Painting, American -- Texas -- 21st century. ; Art -- Political aspects -- United States.</t>
  </si>
  <si>
    <t>Two Armies on the Rio Grande : The First Campaign of the US-Mexican War</t>
  </si>
  <si>
    <t>https://ebookcentral.proquest.com/lib/viva-active/detail.action?docID=1848020</t>
  </si>
  <si>
    <t>Murphy, Douglas A.</t>
  </si>
  <si>
    <t>Williams-Ford Texas A&amp;M University Military History Series</t>
  </si>
  <si>
    <t>Palo Alto, Battle of, Tex., 1846. ; Resaca de la Palma, Battle of, Tex., 1846. ; Mexican War, 1846-1848 -- Texas -- Lower Rio Grande Valley.</t>
  </si>
  <si>
    <t>Chasing Dichos Through Chimayó</t>
  </si>
  <si>
    <t>https://ebookcentral.proquest.com/lib/viva-active/detail.action?docID=1851902</t>
  </si>
  <si>
    <t>Usner, Don J.</t>
  </si>
  <si>
    <t>Querencias Ser.</t>
  </si>
  <si>
    <t>Folklore -- New Mexico -- Chimayo. ; Oral tradition -- New Mexico -- Chimayo. ; Proverbs, Spanish -- New Mexico -- Chimayo. ; Spanish poetry -- New Mexico -- Chimayo. ; Extended families -- New Mexico -- Chimayo. ; Community life -- New Mexico -- Chimayo. ; Chimayo (N.M.) -- Social life and customs.</t>
  </si>
  <si>
    <t>Spiritual Currency in Northeast Brazil</t>
  </si>
  <si>
    <t>https://ebookcentral.proquest.com/lib/viva-active/detail.action?docID=1851903</t>
  </si>
  <si>
    <t>King, Lindsey</t>
  </si>
  <si>
    <t>Francis, -- of Assisi, Saint, -- 1182-1226 -- Cult -- Brazil -- Canindé (Ceará) ; Canindé (Ceará, Brazil) -- Religious life and customs.</t>
  </si>
  <si>
    <t>García Lorca at the Edge of Surrealism : The Aesthetics of Anguish</t>
  </si>
  <si>
    <t>https://ebookcentral.proquest.com/lib/viva-active/detail.action?docID=1864056</t>
  </si>
  <si>
    <t>Richter, David F.</t>
  </si>
  <si>
    <t>Surrealism - Philosophy</t>
  </si>
  <si>
    <t>Revolutionary Cuba : A History</t>
  </si>
  <si>
    <t>https://ebookcentral.proquest.com/lib/viva-active/detail.action?docID=1865074</t>
  </si>
  <si>
    <t>Martínez-Fernández, Luis</t>
  </si>
  <si>
    <t>Cuba - History - Revolution, 1959</t>
  </si>
  <si>
    <t>Of Love and Other Passions : Elites, Politics, and Family in Bogotá, Colombia, 1778-1870</t>
  </si>
  <si>
    <t>https://ebookcentral.proquest.com/lib/viva-active/detail.action?docID=1865288</t>
  </si>
  <si>
    <t xml:space="preserve">Dueñas-Vargas, Guiomar;Dueanas Vargas, Guiomar </t>
  </si>
  <si>
    <t>Marriage -- Colombia -- Bogotá -- History -- 19th century. ; Courtship -- Colombia -- Bogotá -- History -- 19th century. ; Families -- Colombia -- Bogotá -- History -- 19th century. ; Upper class -- Colombia -- Bogotá -- History -- 19th century. ; Bogotá (Colombia) -- Civilization -- 19th century. ; Bogotá (Colombia) -- History -- 19th century. ; Bogotá (Colombia) -- Politics and government -- 19th century.</t>
  </si>
  <si>
    <t>Between Nostalgia and Apocalypse : Popular Music and the Staging of Brazil</t>
  </si>
  <si>
    <t>https://ebookcentral.proquest.com/lib/viva-active/detail.action?docID=1866449</t>
  </si>
  <si>
    <t>Sharp, Daniel B.</t>
  </si>
  <si>
    <t>Music/Culture Ser.</t>
  </si>
  <si>
    <t>Popular music - Social aspects - Brazil - Pernambuco - History</t>
  </si>
  <si>
    <t>Activism, Alliance Building, and the Esperanza Peace and Justice Center</t>
  </si>
  <si>
    <t>https://ebookcentral.proquest.com/lib/viva-active/detail.action?docID=1873109</t>
  </si>
  <si>
    <t>DeTurk, Sara</t>
  </si>
  <si>
    <t>Toleration - Study and teaching - United States</t>
  </si>
  <si>
    <t>Contemporary Middle Class in Latin America : A Study of San Felipe</t>
  </si>
  <si>
    <t>https://ebookcentral.proquest.com/lib/viva-active/detail.action?docID=1873112</t>
  </si>
  <si>
    <t>Pereyra, Omar</t>
  </si>
  <si>
    <t>Social mobility - Latin America - History - 21st century</t>
  </si>
  <si>
    <t>Rethinking Latin American Social Movements : Radical Action from Below</t>
  </si>
  <si>
    <t>https://ebookcentral.proquest.com/lib/viva-active/detail.action?docID=1874267</t>
  </si>
  <si>
    <t>Stahler-Sholk, Richard;Vanden, Harry E.;Becker, Marc</t>
  </si>
  <si>
    <t>Toward a Multicultural Configuration of Spain : Local Cities, Global Spaces</t>
  </si>
  <si>
    <t>https://ebookcentral.proquest.com/lib/viva-active/detail.action?docID=1874271</t>
  </si>
  <si>
    <t>Corbalán , Ana;Mayock, Ellen;Castillo Villanueva, Alicia;de Entrambasaguas, Javier;del Carmen Alfonso Garcia, María;Deveny, Thomas;Gillespie, Donna;Ketz, Victoria L.;Lee, Sohyun;Leone, Maryanne L.</t>
  </si>
  <si>
    <t>Cultural pluralism in motion pictures</t>
  </si>
  <si>
    <t>Machado de Assis and Female Characterization : The Novels</t>
  </si>
  <si>
    <t>https://ebookcentral.proquest.com/lib/viva-active/detail.action?docID=1874272</t>
  </si>
  <si>
    <t>Fitz , Earl E.</t>
  </si>
  <si>
    <t>Authors, Portuguese -- 19th century -- Biography. ; Women in literature. ; Portugal -- Fiction.</t>
  </si>
  <si>
    <t>Crisis and Contradiction : Marxist Perspectives on Latin America in the Global Political Economy</t>
  </si>
  <si>
    <t>https://ebookcentral.proquest.com/lib/viva-active/detail.action?docID=1875441</t>
  </si>
  <si>
    <t>Spronk, Susan;Webber, Jeffery R.</t>
  </si>
  <si>
    <t>Economic development -- Political aspects -- Latin America. ; Marxian economics -- Latin America. ; Latin America -- Economic conditions. ; Latin America -- Economic policy.</t>
  </si>
  <si>
    <t>Whose Child Am I? : Unaccompanied, Undocumented Children in U. S. Immigration Custody</t>
  </si>
  <si>
    <t>https://ebookcentral.proquest.com/lib/viva-active/detail.action?docID=1882091</t>
  </si>
  <si>
    <t>Terrio, Susan J.</t>
  </si>
  <si>
    <t>Unaccompanied immigrant children-Government policy-United States-Case studies. ; Illegal alien children-Government policy-United States-Case studies.</t>
  </si>
  <si>
    <t>The Chicano Generation : Testimonios of the Movement</t>
  </si>
  <si>
    <t>https://ebookcentral.proquest.com/lib/viva-active/detail.action?docID=1882093</t>
  </si>
  <si>
    <t>García, Mario T.;García, Mario T.</t>
  </si>
  <si>
    <t>Ruiz, Raul, -- 1940- ; Arellanes, Gloria, -- 1946- ; Muñoz, Rosalio, -- 1946- ; Chicano movement -- California -- Los Angeles.</t>
  </si>
  <si>
    <t>Barrio Rising : Urban Popular Politics and the Making of Modern Venezuela</t>
  </si>
  <si>
    <t>https://ebookcentral.proquest.com/lib/viva-active/detail.action?docID=1882098</t>
  </si>
  <si>
    <t>Velasco, Alejandro</t>
  </si>
  <si>
    <t>Squatters - Political activity - Venezuela - Caracas</t>
  </si>
  <si>
    <t>Dreams and Nightmares : Immigration Policy, Youth, and Families</t>
  </si>
  <si>
    <t>https://ebookcentral.proquest.com/lib/viva-active/detail.action?docID=1882101</t>
  </si>
  <si>
    <t>Zatz, Marjorie S.;Rodriguez, Nancy</t>
  </si>
  <si>
    <t>Immigrant youth -- United States -- Social conditions. ; Unaccompanied immigrant children -- United States -- Social conditions. ; Emigration and immigration law -- United States. ; Immigrant families -- Law and legislation -- United States.</t>
  </si>
  <si>
    <t>Beyond Contributory Pensions : Fourteen Experiences with Coverage Expansion in Latin America</t>
  </si>
  <si>
    <t>https://ebookcentral.proquest.com/lib/viva-active/detail.action?docID=1884079</t>
  </si>
  <si>
    <t xml:space="preserve">Rofman, Rafael;Apella, Ignacio;Vezza, Evelyn;Vezza, Evelyn </t>
  </si>
  <si>
    <t>Old age pensions -- Government policy -- Latin America. ; Pensions -- Government policy -- Latin America. ; Social security -- Latin America.</t>
  </si>
  <si>
    <t>Golden Age Drama in Contemporary Spain : The Comedia on Page, Stage and Screen</t>
  </si>
  <si>
    <t>https://ebookcentral.proquest.com/lib/viva-active/detail.action?docID=1889104</t>
  </si>
  <si>
    <t>Wheeler, Duncan</t>
  </si>
  <si>
    <t>Linguists -- Wales -- Biography ; Morris-Jones, John, 1864-1919 ; Welsh philology -- History</t>
  </si>
  <si>
    <t>Adolfo Bioy Casares : Borges, Fiction and Art</t>
  </si>
  <si>
    <t>https://ebookcentral.proquest.com/lib/viva-active/detail.action?docID=1889129</t>
  </si>
  <si>
    <t>Posso, Karl</t>
  </si>
  <si>
    <t>Argentine literature -- 20th century -- History and criticism. ; Bioy Casares, Adolfo -- Criticism and interpretation. ; Borges, Jorge Luis, 1899-1986 -- Criticism and interpretation.</t>
  </si>
  <si>
    <t>The Mexican Transition : Politics, Culture and Democracy in the Twenty-first Century</t>
  </si>
  <si>
    <t>https://ebookcentral.proquest.com/lib/viva-active/detail.action?docID=1889137</t>
  </si>
  <si>
    <t>Bartra, Roger</t>
  </si>
  <si>
    <t>Mexico -- Politics and government -- 21st century. ; Mexico -- Politics and government. ; Mexico -- Social life and customs. ; Mexico.</t>
  </si>
  <si>
    <t>Women in Mexican Folk Art : Of Promises, Betrayals, Monsters and Celebrities</t>
  </si>
  <si>
    <t>https://ebookcentral.proquest.com/lib/viva-active/detail.action?docID=1889198</t>
  </si>
  <si>
    <t>Bartra, Eli</t>
  </si>
  <si>
    <t>Folk art -- Mexico. ; Women artists -- Mexico. ; Women folk artists -- Mexico. ; Women in art.</t>
  </si>
  <si>
    <t>African Diaspora in the Cultures of Latin America, the Caribbean, and the United States</t>
  </si>
  <si>
    <t>https://ebookcentral.proquest.com/lib/viva-active/detail.action?docID=1890574</t>
  </si>
  <si>
    <t>Braham, Persephone;Alberto, Paulina;Chambers, Eddie;Dominguez Torres, Monica;Gaiter, Colette;Guerron Montero, Carla;Henderson, Carol E.;Holloway, Camara;Marshall, Wayne G;Marshall, Wayne G.</t>
  </si>
  <si>
    <t>University of Delaware Press</t>
  </si>
  <si>
    <t>African diaspora. ; Blacks -- Latin America -- Intellectual life. ; Blacks -- Caribbean Area -- Intellectual life. ; African Americans -- Intellectual life. ; Latin America -- Civilization -- African influences. ; Caribbean Area -- Civilization -- African influences. ; United States -- Civilization -- African American influences.</t>
  </si>
  <si>
    <t>Identity in Latin American and Latina Literature : The Struggle to Self-Define In a Global Era Where Space, Capitalism, and Power Rule</t>
  </si>
  <si>
    <t>https://ebookcentral.proquest.com/lib/viva-active/detail.action?docID=1903375</t>
  </si>
  <si>
    <t>Quinn-Sánchez, Kathryn</t>
  </si>
  <si>
    <t>Latin American literature - Women authors - History and criticism</t>
  </si>
  <si>
    <t>Cooperation and Drug Policies in the Americas : Trends in the Twenty-First Century</t>
  </si>
  <si>
    <t>https://ebookcentral.proquest.com/lib/viva-active/detail.action?docID=1903378</t>
  </si>
  <si>
    <t>Zepeda, Roberto;Rosen, Jonathan D.;Anatol, Marlon;Arrarás , Astrid;Bello-Pardo, Emily D.;Bobea, Lilian;Carpenter, Ted Galen;Fonseca, Brian;Garcia-Zamor, Jean-Claude;Horwitz, Betty</t>
  </si>
  <si>
    <t>Security in the Americas in the Twenty-First Century</t>
  </si>
  <si>
    <t>Drug traffic -- America. ; Drug traffic -- Prevention -- International cooperation.</t>
  </si>
  <si>
    <t>Macho Ethics : Masculinity and Self-Representation in Latino-Caribbean Narrative</t>
  </si>
  <si>
    <t>https://ebookcentral.proquest.com/lib/viva-active/detail.action?docID=1910189</t>
  </si>
  <si>
    <t>Cortés, Jason</t>
  </si>
  <si>
    <t>American literature - West Indian American authors - History and criticism</t>
  </si>
  <si>
    <t>Spectacular Mexico : Design, Propaganda, and the 1968 Olympics</t>
  </si>
  <si>
    <t>https://ebookcentral.proquest.com/lib/viva-active/detail.action?docID=1912577</t>
  </si>
  <si>
    <t>Castañeda, Luis M.</t>
  </si>
  <si>
    <t>A Quadrant Book</t>
  </si>
  <si>
    <t>Architecture and state -- Mexico -- History -- 20th century. ; Architecture and society -- Mexico -- History -- 20th century. ; Architecture -- Political aspects -- Mexico -- History -- 20th century. ; Design -- Political aspects -- Mexico -- History -- 20th century.</t>
  </si>
  <si>
    <t>Great Teachers : How to Raise Student Learning in Latin America and the Caribbean</t>
  </si>
  <si>
    <t>https://ebookcentral.proquest.com/lib/viva-active/detail.action?docID=1913690</t>
  </si>
  <si>
    <t>Bruns, Barbara;Luque, Javier;de Gregorio, Soledad</t>
  </si>
  <si>
    <t>Teaching -- South America. ; Teaching -- Caribbean Area.</t>
  </si>
  <si>
    <t>Purchasing Whiteness : Pardos, Mulattos, and the Quest for Social Mobility in the Spanish Indies</t>
  </si>
  <si>
    <t>https://ebookcentral.proquest.com/lib/viva-active/detail.action?docID=1920278</t>
  </si>
  <si>
    <t>Twinam, Ann</t>
  </si>
  <si>
    <t>Racially mixed people -- Spain -- Colonies -- History. ; Race discrimination -- Caribbean Area -- History. ; Race discrimination -- Spain -- Colonies -- History. ; Racially mixed people -- Legal status, laws, etc. -- Caribbean Area -- History. ; Caribbean Area -- Race relations -- History.</t>
  </si>
  <si>
    <t>Discovering Florida : First-Contact Narratives from Spanish Expeditions along the Lower Gulf Coast</t>
  </si>
  <si>
    <t>https://ebookcentral.proquest.com/lib/viva-active/detail.action?docID=1920360</t>
  </si>
  <si>
    <t xml:space="preserve">Worth, John E.;Worth, Dr John E </t>
  </si>
  <si>
    <t>Florida Museum of Natural History: Ripley P. Bullen Ser.</t>
  </si>
  <si>
    <t>Soto, Hernando de, -- approximately 1500-1542. ; Ponce de León, Juan, -- 1460?-1521. ; Explorers -- Florida -- History -- Personal narratives. ; America -- Discovery and exploration -- Spanish -- Personal narratives. ; Florida -- History -- To 1565.</t>
  </si>
  <si>
    <t>Critical Marxism in Mexico : Adolfo Sánchez Vázquez and Bolivar Echeverria</t>
  </si>
  <si>
    <t>https://ebookcentral.proquest.com/lib/viva-active/detail.action?docID=1936133</t>
  </si>
  <si>
    <t>Gandler, Stefan</t>
  </si>
  <si>
    <t>Sánchez Vázquez, Adolfo. ; Echeverría, Bolívar. ; Philosophy, Marxist -- Mexico. ; Critical theory -- Mexico.</t>
  </si>
  <si>
    <t>Race on the Move : Brazilian Migrants and the Global Reconstruction of Race</t>
  </si>
  <si>
    <t>https://ebookcentral.proquest.com/lib/viva-active/detail.action?docID=1936291</t>
  </si>
  <si>
    <t xml:space="preserve">Joseph, Tiffany D.;Tiffany, Joseph </t>
  </si>
  <si>
    <t>Stanford Studies in Comparative Race and Ethnicity Ser.</t>
  </si>
  <si>
    <t>Brazilians -- Race identity -- United States. ; Return migrants -- Brazil -- Governador Valadares -- Attitudes. ; Race -- Cross-cultural studies. ; Ethnicity -- Cross-cultural studies. ; Brazil -- Race relations. ; United States -- Race relations. ; Brazil -- Emigration and immigration -- Social aspects.</t>
  </si>
  <si>
    <t>Leadership Dispatches : Chile's Extraordinary Comeback from Disaster</t>
  </si>
  <si>
    <t>https://ebookcentral.proquest.com/lib/viva-active/detail.action?docID=1943264</t>
  </si>
  <si>
    <t>Useem, Michael;Kunreuther, Howard;Michel-Kerjan, Erwann</t>
  </si>
  <si>
    <t>High Reliability and Crisis Management Ser.</t>
  </si>
  <si>
    <t>Chile Earthquake, Chile, 2010 (February 27) ; Earthquake relief -- Chile. ; Emergency management -- Chile. ; Leadership -- Chile. ; Chile -- Economic conditions -- 21st century. ; Chile -- Politics and government -- 21st century.</t>
  </si>
  <si>
    <t>The Golden Leaf : How Tobacco Shaped Cuba and the Atlantic World</t>
  </si>
  <si>
    <t>https://ebookcentral.proquest.com/lib/viva-active/detail.action?docID=1953130</t>
  </si>
  <si>
    <t>Cosner, Charlotte</t>
  </si>
  <si>
    <t>Vanderbilt University Press</t>
  </si>
  <si>
    <t>Cuba - History - 18th century</t>
  </si>
  <si>
    <t>Montesinos' Legacy : Defining and Defending Human Rights for Five Hundred Years</t>
  </si>
  <si>
    <t>https://ebookcentral.proquest.com/lib/viva-active/detail.action?docID=1956977</t>
  </si>
  <si>
    <t>Aspinall, Dana E.;Lorenz, Edward C.;Raley, J. Michael;Arrocha Olabuenaga, Pablo Adrián;Baum, Gregory;Bratman, Eve;Clark, Chelsea;Corcoran, Erin B.;Corniel, Lisette Acosta;Edmonds, Kevin</t>
  </si>
  <si>
    <t>Montesinos, Antaon de</t>
  </si>
  <si>
    <t>Forgotten Citizens : Deportation, Children, and the Making of American Exiles and Orphans</t>
  </si>
  <si>
    <t>https://ebookcentral.proquest.com/lib/viva-active/detail.action?docID=1973786</t>
  </si>
  <si>
    <t>Zayas, Luis;Zayas, Luis</t>
  </si>
  <si>
    <t>Children of illegal aliens - Law and legislation - United States</t>
  </si>
  <si>
    <t>Debating Race, Ethnicity, and Latino Identity : Jorge J. E. Gracia and His Critics</t>
  </si>
  <si>
    <t>https://ebookcentral.proquest.com/lib/viva-active/detail.action?docID=1974556</t>
  </si>
  <si>
    <t>Jaksić, Iván</t>
  </si>
  <si>
    <t>Gracia, Jorge J. E - Philosophy</t>
  </si>
  <si>
    <t>Pesos and Politics : Business, Elites, Foreigners, and Government in Mexico, 1854-1940</t>
  </si>
  <si>
    <t>https://ebookcentral.proquest.com/lib/viva-active/detail.action?docID=1991236</t>
  </si>
  <si>
    <t xml:space="preserve">Wasserman, Mark;Mark, Wasserman </t>
  </si>
  <si>
    <t>Industrial policy -- Mexico -- History. ; Businesspeople -- Mexico -- History. ; Elite (Social sciences) -- Mexico -- History. ; Investments, Foreign -- Mexico -- History. ; Business enterprises, Foreign -- Mexico -- History. ; Mexico -- Politics and government -- 1867-1910. ; Mexico -- Politics and government -- 1910-1946.</t>
  </si>
  <si>
    <t>Changes in Ethical Worldviews of Spanish Missionaries in Mexico : An Ethical Transition from Sight to Touch in the 16th and 17th Centuries</t>
  </si>
  <si>
    <t>https://ebookcentral.proquest.com/lib/viva-active/detail.action?docID=1991815</t>
  </si>
  <si>
    <t>Tene, Ran</t>
  </si>
  <si>
    <t>Torquemada, Juan de, -- 1388-1468. ; Motolinía, Toribio, -- -1568. ; Missions -- Mexico -- History. ; Conversion -- Christianity. ; Psychology, Religious.</t>
  </si>
  <si>
    <t>True History of the Conquest of New Spain. By Bernal Diaz del Castillo, One of its Conquerors : From the Exact Copy made of the Original Manuscript. Edited and published in Mexico by Genaro García. Volume V</t>
  </si>
  <si>
    <t>https://ebookcentral.proquest.com/lib/viva-active/detail.action?docID=2004659</t>
  </si>
  <si>
    <t>Maudslay, Alfred Percival</t>
  </si>
  <si>
    <t>Hakluyt Society</t>
  </si>
  <si>
    <t>Hakluyt Society, Second Series</t>
  </si>
  <si>
    <t>Cortés, Hernán, -- 1485-1547. ; Mexico -- History -- Conquest, 1519-1540.</t>
  </si>
  <si>
    <t>Messages from the Gods : A Guide to the Useful Plants of Belize</t>
  </si>
  <si>
    <t>https://ebookcentral.proquest.com/lib/viva-active/detail.action?docID=2012653</t>
  </si>
  <si>
    <t>Balick, Michael J.;Arvigo, Rosita</t>
  </si>
  <si>
    <t>Science; Science: Botany</t>
  </si>
  <si>
    <t>Medicinal plants -- Belize. ; Traditional medicine -- Belize. ; Healers -- Belize. ; Ethnobotany -- Belize.</t>
  </si>
  <si>
    <t>Cultural Considerations in Latino American Mental Health</t>
  </si>
  <si>
    <t>https://ebookcentral.proquest.com/lib/viva-active/detail.action?docID=2012684</t>
  </si>
  <si>
    <t>Grey, Harvette;Hall-Clark, Brittany N.</t>
  </si>
  <si>
    <t>Hispanic Americans--Mental health.</t>
  </si>
  <si>
    <t>Alcohol and Nationhood in Nineteenth-Century Mexico</t>
  </si>
  <si>
    <t>https://ebookcentral.proquest.com/lib/viva-active/detail.action?docID=2025421</t>
  </si>
  <si>
    <t>Toner, Deborah</t>
  </si>
  <si>
    <t>Alcohol - Political aspects - Mexico - 19th century</t>
  </si>
  <si>
    <t>A Future for the Latino Church : Models for Multilingual, Multigenerational Hispanic Congregations</t>
  </si>
  <si>
    <t>https://ebookcentral.proquest.com/lib/viva-active/detail.action?docID=2025559</t>
  </si>
  <si>
    <t>Rodriguez, Daniel A.;Ortiz, Manuel</t>
  </si>
  <si>
    <t>InterVarsity Press</t>
  </si>
  <si>
    <t>Hispanic American churches.</t>
  </si>
  <si>
    <t>Divided Spirits : Tequila, Mezcal, and the Politics of Production</t>
  </si>
  <si>
    <t>https://ebookcentral.proquest.com/lib/viva-active/detail.action?docID=2025587</t>
  </si>
  <si>
    <t>Bowen, Sarah</t>
  </si>
  <si>
    <t>California Studies in Food and Culture Ser.</t>
  </si>
  <si>
    <t>Engineering; Economics; Engineering: Chemical; Business/Management</t>
  </si>
  <si>
    <t>Mescal industry. ; Mescal. ; Tequila.</t>
  </si>
  <si>
    <t>The Lawyer of the Church : Bishop Clemente de Jesús Munguía and the Clerical Response to the Mexican Liberal Reforma</t>
  </si>
  <si>
    <t>https://ebookcentral.proquest.com/lib/viva-active/detail.action?docID=2025839</t>
  </si>
  <si>
    <t>Mijangos y Gonzalez, Pablo</t>
  </si>
  <si>
    <t>Munguaia, Clemente de Jesaus</t>
  </si>
  <si>
    <t>Brazil Through French Eyes : A Nineteenth-Century Artist in the Tropics</t>
  </si>
  <si>
    <t>https://ebookcentral.proquest.com/lib/viva-active/detail.action?docID=2030246</t>
  </si>
  <si>
    <t>Araujo, Ana Lucia</t>
  </si>
  <si>
    <t>Biard, Franc¸ois Auguste. Deux anne´es au Bre´sil. ; Brazil -- Description and travel. ; Exoticism in literature. ; Romanticism -- Europe.</t>
  </si>
  <si>
    <t>¡Corrido! : The Living Ballad of Mexico's Western Coast</t>
  </si>
  <si>
    <t>https://ebookcentral.proquest.com/lib/viva-active/detail.action?docID=2030249</t>
  </si>
  <si>
    <t>McDowell, John Holmes;Glushko, Patricia;Fernández, Carlos</t>
  </si>
  <si>
    <t>Corridos -- Mexico -- Pacific Coast -- History and criticism. ; Folk songs, Spanish -- Mexico -- History and criticism. ; Folk songs.</t>
  </si>
  <si>
    <t>The Middle East and Brazil : Perspectives on the New Global South</t>
  </si>
  <si>
    <t>https://ebookcentral.proquest.com/lib/viva-active/detail.action?docID=2036032</t>
  </si>
  <si>
    <t>Amar, Paul;Farah, Paulo Daniel;Riberio Santana, Carlos;Sochaczewski Goldfeld, Monique;Rabossi, Fernando;Montenegro, Silvia M.;Vargas, Armando;Birman, Daniela;Hassan, Waïl;Shohat, Ella</t>
  </si>
  <si>
    <t>Public Cultures of the Middle East and North Africa Ser.</t>
  </si>
  <si>
    <t>Muslims -- Brazil -- History. ; Muslims -- Brazil -- Ethnic identity. ; Transnationalism -- Social aspects -- Brazil. ; Transnationalism -- Political aspects -- Brazil. ; Transnationalism in literature. ; Brazilian literature -- History and criticism. ; Middle East -- Relations -- Brazil.</t>
  </si>
  <si>
    <t>Highland Indians and the State in Modern Ecuador</t>
  </si>
  <si>
    <t>https://ebookcentral.proquest.com/lib/viva-active/detail.action?docID=2038148</t>
  </si>
  <si>
    <t>Clark, A. Kim;Becker, Marc</t>
  </si>
  <si>
    <t>University of Pittsburgh Press</t>
  </si>
  <si>
    <t>Pitt Latin American Ser.</t>
  </si>
  <si>
    <t>Indians of South America -- Ecuador -- Sierra -- Government relations. ; Indians of South America -- Ecuador -- Sierra -- History. ; Indians, Treatment of -- Ecuador -- Sierra -- History. ; Sierra (Ecuador) -- Politics and government. ; Sierra (Ecuador) -- Race relations.</t>
  </si>
  <si>
    <t>The Conquest of History : Spanish Colonialism and National Histories in the Nineteenth Century</t>
  </si>
  <si>
    <t>https://ebookcentral.proquest.com/lib/viva-active/detail.action?docID=2038169</t>
  </si>
  <si>
    <t>Schmidt-Nowara, Christopher</t>
  </si>
  <si>
    <t>Latin America -- Civilization -- Spanish influences. ; Latin America -- Historiography. ; Nationalism -- Latin America -- History -- 19th century. ; Spain -- Civilization -- Latin American influences.</t>
  </si>
  <si>
    <t>Landscapes of Struggle : Politics Society and Community in el Salvador</t>
  </si>
  <si>
    <t>https://ebookcentral.proquest.com/lib/viva-active/detail.action?docID=2038845</t>
  </si>
  <si>
    <t>Lauria-Santiago, Aldo;Binford, Leigh</t>
  </si>
  <si>
    <t>El Salvador -- History -- 19th century. ; El Salvador -- History -- 20th century. ; El Salvador -- History, Local. ; El Salvador -- Social conditions -- 20th century.</t>
  </si>
  <si>
    <t>Liberalism at Its Limits : Crime and Terror in the Latin American Cultural Text</t>
  </si>
  <si>
    <t>https://ebookcentral.proquest.com/lib/viva-active/detail.action?docID=2038846</t>
  </si>
  <si>
    <t>Rodriguez, Ileana</t>
  </si>
  <si>
    <t>Pitt Illuminations Ser.</t>
  </si>
  <si>
    <t>Civil society -- Latin America. ; Liberalism -- History. ; Liberalism -- Latin America. ; Violence -- Latin America.</t>
  </si>
  <si>
    <t>Literature and Subjection : The Economy of Writing and Marginality in Latin America</t>
  </si>
  <si>
    <t>https://ebookcentral.proquest.com/lib/viva-active/detail.action?docID=2038847</t>
  </si>
  <si>
    <t>Legras, Horacio</t>
  </si>
  <si>
    <t>Latin American literature -- 19th century -- History and criticism. ; Latin American literature -- 20th century -- History and criticism. ; Marginality, Social, in literature.</t>
  </si>
  <si>
    <t>Myths of Harmony : Race and Republicanism During the Age of Revolution, Colombia, 1795-1831</t>
  </si>
  <si>
    <t>https://ebookcentral.proquest.com/lib/viva-active/detail.action?docID=2038852</t>
  </si>
  <si>
    <t>Lasso, Marixa</t>
  </si>
  <si>
    <t>Blacks -- Colombia -- Politics and government -- 19th century. ; Blacks -- Colombia -- Politics and government -- 20th century. ; Colombia -- Race relations. ; Race relations.</t>
  </si>
  <si>
    <t>Newsrooms in Conflict : Journalism and the Democratization of Mexico</t>
  </si>
  <si>
    <t>https://ebookcentral.proquest.com/lib/viva-active/detail.action?docID=2038854</t>
  </si>
  <si>
    <t>Hughes, Sallie</t>
  </si>
  <si>
    <t>Journalism -- Political aspects -- Mexico -- History -- 19th century. ; Journalism -- Political aspects -- Mexico -- History -- 20th century. ; Journalism -- Social aspects -- Mexico -- History -- 19th century. ; Journalism -- Social aspects -- Mexico -- History -- 20th century.</t>
  </si>
  <si>
    <t>Nightmares of the Lettered City : Banditry and Literature in Latin America, 1816-1929</t>
  </si>
  <si>
    <t>https://ebookcentral.proquest.com/lib/viva-active/detail.action?docID=2038855</t>
  </si>
  <si>
    <t>Dabove, Juan Pablo</t>
  </si>
  <si>
    <t>Brigands and robbers in literature. ; Latin American literature -- 19th century -- History and criticism. ; Latin American literature -- 20th century -- History and criticism.</t>
  </si>
  <si>
    <t>Political (in)Justice : Authoritarianism and the Rule of Law in Brazil, Chile, and Argentina</t>
  </si>
  <si>
    <t>https://ebookcentral.proquest.com/lib/viva-active/detail.action?docID=2038861</t>
  </si>
  <si>
    <t>Pereira, Anthony W.</t>
  </si>
  <si>
    <t>Authoritarianism -- Brazil. ; Authoritarianism -- Chile. ; Rule of law -- Brazil. ; Rule of law -- Chile.</t>
  </si>
  <si>
    <t>Struggles of Voice : The Politics of Indigenous Representation in the Andes</t>
  </si>
  <si>
    <t>https://ebookcentral.proquest.com/lib/viva-active/detail.action?docID=2038876</t>
  </si>
  <si>
    <t>Lucero, Jose Antonio</t>
  </si>
  <si>
    <t>Indians of South America -- Bolivia -- Politics and government. ; Indians of South America -- Ecuador -- Politics and government. ; Indigenous peoples -- Bolivia -- Politics and government. ; Indigenous peoples -- Ecuador -- Politics and government.</t>
  </si>
  <si>
    <t>The Andes Imagined : Indigenismo, Society, and Modernity</t>
  </si>
  <si>
    <t>https://ebookcentral.proquest.com/lib/viva-active/detail.action?docID=2038879</t>
  </si>
  <si>
    <t>Coronado, Jorge</t>
  </si>
  <si>
    <t>Ethnicity -- Peru -- History -- 20th century. ; Identity (Psychology) -- Peru. ; Peru -- Civilization -- 20th century. ; Peru -- Civilization -- Indian influences.</t>
  </si>
  <si>
    <t>The Avant-Garde and Geopolitics in Latin America</t>
  </si>
  <si>
    <t>https://ebookcentral.proquest.com/lib/viva-active/detail.action?docID=2038881</t>
  </si>
  <si>
    <t>Rosenberg, Fernando J.</t>
  </si>
  <si>
    <t>Andrade, Ma´rio de, 1893-1945 -- Criticism and interpretation. ; Arlt, Roberto, 1900-1942 -- Criticism and interpretation. ; Latin American literature -- 20th century -- History and criticism. ; Literature, Experimental -- Latin America -- History and criticism. ; Politics and literature -- Latin America.</t>
  </si>
  <si>
    <t>The Cuban Embargo : The Domestic Politics of an American Foreign Policy</t>
  </si>
  <si>
    <t>https://ebookcentral.proquest.com/lib/viva-active/detail.action?docID=2038882</t>
  </si>
  <si>
    <t>Haney, Patrick;Vanderbush, Walt</t>
  </si>
  <si>
    <t>Cuba -- Foreign economic relations -- United States. ; Economic sanctions, American -- Cuba. ; Economic sanctions, American. ; United States -- Foreign economic relations -- Cuba.</t>
  </si>
  <si>
    <t>Under the Flags of Freedom : Slave Soldiers and the Wars of Independence in Spanish South America</t>
  </si>
  <si>
    <t>https://ebookcentral.proquest.com/lib/viva-active/detail.action?docID=2038900</t>
  </si>
  <si>
    <t>Blanchard, Peter</t>
  </si>
  <si>
    <t>Slaves -- South America -- History -- 19th century. ; Soldiers, Black -- South America -- History -- 19th century. ; South America -- History -- Wars of Independence, 1806-1830.</t>
  </si>
  <si>
    <t>Unresolved Tensions : Bolivia Past and Present</t>
  </si>
  <si>
    <t>https://ebookcentral.proquest.com/lib/viva-active/detail.action?docID=2038901</t>
  </si>
  <si>
    <t>Crabtree, John;Whitehead, Laurence</t>
  </si>
  <si>
    <t>Bolivia -- Economic conditions -- 1982. ; Bolivia -- Politics and government -- 1982-2006. ; Bolivia -- Race relations.</t>
  </si>
  <si>
    <t>City at the Center of the World : Space, History, and Modernity in Quito</t>
  </si>
  <si>
    <t>https://ebookcentral.proquest.com/lib/viva-active/detail.action?docID=2039264</t>
  </si>
  <si>
    <t>Capello, Ernesto</t>
  </si>
  <si>
    <t>Collective memory -- Ecuador -- Quito. ; Quito (Ecuador) -- Historiography -- Social aspects. ; Quito (Ecuador) -- History. ; Quito (Ecuador) -- Population.</t>
  </si>
  <si>
    <t>Cultures of the City : Mediating Identities in Urban Latin/o America</t>
  </si>
  <si>
    <t>https://ebookcentral.proquest.com/lib/viva-active/detail.action?docID=2039266</t>
  </si>
  <si>
    <t>Young, Richard;Holmes, Amanda</t>
  </si>
  <si>
    <t>Group identity -- Latin America. ; Hispanic Americans -- Social conditions. ; Latin America -- Social conditions. ; Sociology, Urban -- Latin America.</t>
  </si>
  <si>
    <t>Dignifying Argentina : Peronism, Citizenship, and Mass Consumption</t>
  </si>
  <si>
    <t>https://ebookcentral.proquest.com/lib/viva-active/detail.action?docID=2039268</t>
  </si>
  <si>
    <t>Elena, Eduardo</t>
  </si>
  <si>
    <t>Argentina -- Economic conditions -- 1945-1983. ; Argentina -- Economic policy. ; Argentina -- Politics and government -- 1943-1955. ; Citizenship -- Argentina -- History -- 19th century. ; Consumption (Economics) -- Argentina -- History -- 20th century. ; Households -- Economic aspects -- Argentina -- History -- 20th century. ; Peronism -- Economic aspects. ; Populism -- Argentina -- History -- 20th century.</t>
  </si>
  <si>
    <t>Electing Chavez : The Business of Anti-Neoliberal Politics in Venezuela</t>
  </si>
  <si>
    <t>https://ebookcentral.proquest.com/lib/viva-active/detail.action?docID=2039270</t>
  </si>
  <si>
    <t>Gates, Leslie C.</t>
  </si>
  <si>
    <t>Cha´vez Fri´as, Hugo. ; Elections -- Venezuela. ; Neoliberalism -- Venezuela. ; Presidents -- Venezuela -- Election -- 1998. ; Social movements -- Venezuela. ; Venezuela -- Politics and government -- 1974-1999.</t>
  </si>
  <si>
    <t>Medicine and Politics in Colonial Peru : Population Growth and the Bourbon Reforms</t>
  </si>
  <si>
    <t>https://ebookcentral.proquest.com/lib/viva-active/detail.action?docID=2039289</t>
  </si>
  <si>
    <t>Warren, Adam</t>
  </si>
  <si>
    <t>Social Science; Health; Medicine</t>
  </si>
  <si>
    <t>Public health -- Peru -- History -- 18th century. ; Public health -- Peru -- History -- 19th century. ; Vaccination -- Peru -- History -- 19th century. ; Vaccination -- Peru -- History -- 20th century.</t>
  </si>
  <si>
    <t>Poverty of Democracy : The Institutional Roots of Political Participation in Mexico</t>
  </si>
  <si>
    <t>https://ebookcentral.proquest.com/lib/viva-active/detail.action?docID=2039299</t>
  </si>
  <si>
    <t>Holzner, Claudio A.</t>
  </si>
  <si>
    <t>Sentencing Canudos : Subalternity in the Backlands of Brazil</t>
  </si>
  <si>
    <t>https://ebookcentral.proquest.com/lib/viva-active/detail.action?docID=2039313</t>
  </si>
  <si>
    <t>Johnson, Adriana Michele Campos</t>
  </si>
  <si>
    <t>Brazil -- History -- Canudos Campaign, 1893-1897 -- Historiography. ; Canudos (Euclides da Cunha, Brazil) -- Historiography. ; Canudos (Euclides da Cunha, Brazil) -- In literature. ; Cunha, Euclides da, 1866-1909. Sertões.</t>
  </si>
  <si>
    <t>The Politics of Motherhood : Maternity and Women's Rights in Twentieth-Century Chile</t>
  </si>
  <si>
    <t>https://ebookcentral.proquest.com/lib/viva-active/detail.action?docID=2039330</t>
  </si>
  <si>
    <t>Pieper Mooney, Jadwiga E.</t>
  </si>
  <si>
    <t>Motherhood -- Political aspects -- Chile. ; Motherhood -- Political aspects. ; Women''s rights -- Chile.</t>
  </si>
  <si>
    <t>The Politics of Sexuality in Latin America : A Reader on Lesbian, Gay, Bisexual, and Transgender Rights</t>
  </si>
  <si>
    <t>https://ebookcentral.proquest.com/lib/viva-active/detail.action?docID=2039331</t>
  </si>
  <si>
    <t>Corrales, Javier;Pecheny, Mario</t>
  </si>
  <si>
    <t>Gay rights -- Latin America. ; Gay rights. ; Sex -- Political aspects -- Latin America. ; Sex and law.</t>
  </si>
  <si>
    <t>The Vigorous Core of Our Nationality : Race and Regional Identity in Northeastern Brazil</t>
  </si>
  <si>
    <t>https://ebookcentral.proquest.com/lib/viva-active/detail.action?docID=2039337</t>
  </si>
  <si>
    <t>Blake, Stanley E.</t>
  </si>
  <si>
    <t>Brazil, Northeast -- Civilization. ; Brazil, Northeast -- Race relations. ; Brazil, Northeast -- Social conditions -- 19th century. ; Brazil, Northeast -- Social conditions -- 20th century. ; Group identity -- Brazil, Northeast. ; National characteristics, Brazilian. ; Regionalism -- Brazil, Northeast.</t>
  </si>
  <si>
    <t>Unequal Partners : The United States and Mexico</t>
  </si>
  <si>
    <t>https://ebookcentral.proquest.com/lib/viva-active/detail.action?docID=2039342</t>
  </si>
  <si>
    <t>Weintraub, Sidney</t>
  </si>
  <si>
    <t>Business/Management; History; Economics</t>
  </si>
  <si>
    <t>Mexico -- Foreign economic relations -- United States. ; Mexico -- Foreign relations -- United States. ; United States -- Foreign economic relations -- Mexico. ; United States -- Foreign relations -- Mexico.</t>
  </si>
  <si>
    <t>Without History : Subaltern Studies, the Zapatista Insurgency, and the Specter of History</t>
  </si>
  <si>
    <t>https://ebookcentral.proquest.com/lib/viva-active/detail.action?docID=2039348</t>
  </si>
  <si>
    <t>Rabasa, Jose</t>
  </si>
  <si>
    <t>Historiography -- Political aspects -- Mexico. ; Indians of Mexico -- Historiography. ; Indians of Mexico -- Study and teaching.</t>
  </si>
  <si>
    <t>Workers and Welfare : Comparative Institutional Change in Twentieth-Century Mexico</t>
  </si>
  <si>
    <t>https://ebookcentral.proquest.com/lib/viva-active/detail.action?docID=2039349</t>
  </si>
  <si>
    <t>Dion, Michelle L.</t>
  </si>
  <si>
    <t>Labor unions - Mexicon - History - 20th century</t>
  </si>
  <si>
    <t>Bound Lives : Africans, Indians, and the Making of Race in Colonial Peru</t>
  </si>
  <si>
    <t>https://ebookcentral.proquest.com/lib/viva-active/detail.action?docID=2039390</t>
  </si>
  <si>
    <t>O'Toole, Rachel Sarah</t>
  </si>
  <si>
    <t>Africans -- Peru -- Colonization. ; Africans -- Peru -- Government relations. ; Caste -- Peru -- History. ; Indians of South America -- Peru -- Colonization. ; Indians of South America -- Peru -- Government relations. ; Peru -- Colonization. ; Peru -- Foreign relations -- Spain. ; Slavery -- Peru -- History.</t>
  </si>
  <si>
    <t>Gender, State, and Medicine in Highland Ecuador : Modernizing Women, Modernizing the State, 1895-1950</t>
  </si>
  <si>
    <t>https://ebookcentral.proquest.com/lib/viva-active/detail.action?docID=2039410</t>
  </si>
  <si>
    <t>Clark, A. Kim</t>
  </si>
  <si>
    <t>Medical education -- Ecuador -- History -- 20th century. ; Medical education. ; Women -- Ecuador -- Social conditions -- 20th century. ; Women -- Government policy -- Ecuador -- History -- 20th century. ; Women''s health services -- Ecuador -- History -- 20th century. ; Women''s rights -- Ecuador -- History -- 20th century.</t>
  </si>
  <si>
    <t>Media, Sound, and Culture in Latin America and the Caribbean</t>
  </si>
  <si>
    <t>https://ebookcentral.proquest.com/lib/viva-active/detail.action?docID=2039422</t>
  </si>
  <si>
    <t>Bronfman, Alejandra;Wood, Andrew Grant</t>
  </si>
  <si>
    <t>Radio broadcasting - Caribbean Area</t>
  </si>
  <si>
    <t>Race and the Chilean Miracle : Neoliberalism, Democracy, and Indigenous Rights</t>
  </si>
  <si>
    <t>https://ebookcentral.proquest.com/lib/viva-active/detail.action?docID=2039435</t>
  </si>
  <si>
    <t>Richards, Patricia</t>
  </si>
  <si>
    <t>Araucanía (Chile) -- Race relations. ; Mapuche Indians -- Chile -- Araucanía -- Government relations. ; Mapuche Indians -- Civil rights -- Chile -- Araucanía.</t>
  </si>
  <si>
    <t>Salt and the Colombian State : Local Society and Regional Monopoly in Boyaca, 1821-1900</t>
  </si>
  <si>
    <t>https://ebookcentral.proquest.com/lib/viva-active/detail.action?docID=2039440</t>
  </si>
  <si>
    <t>Rosenthal, Joshua M.</t>
  </si>
  <si>
    <t>Boyacaa (Colombia: Dept.) - History - 19th century</t>
  </si>
  <si>
    <t>Speculative Fictions : Chilean Culture, Economics, and the Neoliberal Transition</t>
  </si>
  <si>
    <t>https://ebookcentral.proquest.com/lib/viva-active/detail.action?docID=2039444</t>
  </si>
  <si>
    <t>Fornazzari, Alessandro</t>
  </si>
  <si>
    <t>Culture - Economic aspects - Chile</t>
  </si>
  <si>
    <t>Transition Cinema : Political Filmmaking and the Argentine Left Since 1968</t>
  </si>
  <si>
    <t>https://ebookcentral.proquest.com/lib/viva-active/detail.action?docID=2039471</t>
  </si>
  <si>
    <t>Stites Mor, Jessica</t>
  </si>
  <si>
    <t>Motion picture industry - Political aspects - Argentina - History - 20th century</t>
  </si>
  <si>
    <t>The Heart in the Glass Jar : Love Letters, Bodies, and the Law in Mexico</t>
  </si>
  <si>
    <t>https://ebookcentral.proquest.com/lib/viva-active/detail.action?docID=2045959</t>
  </si>
  <si>
    <t>French, William E.</t>
  </si>
  <si>
    <t>Letter writing - Mexico - History - 20th century</t>
  </si>
  <si>
    <t>Rebel Lands of Cuba : The Campesino Struggles of Oriente and Escambray, 1934–1974</t>
  </si>
  <si>
    <t>https://ebookcentral.proquest.com/lib/viva-active/detail.action?docID=2051680</t>
  </si>
  <si>
    <t>Swanger, Joanna</t>
  </si>
  <si>
    <t>Business/Management; Agriculture; History</t>
  </si>
  <si>
    <t>Escambray Mountains (Cuba) -- Politics and government -- 20th century ; Escambray Mountains (Cuba) -- Rural conditions. ; Government, Resistance to -- Cuba -- History -- 20th century. ; Land tenure -- Political aspects -- Cuba -- History -- 20th century. ; Oriente (Cuba : Province) -- Politics and government -- 20th century. ; Oriente (Cuba : Province) -- Rural conditions. ; Peasant uprisings -- Cuba -- History -- 20th century. ; Race -- Political aspects -- Cuba -- History -- 20th century.</t>
  </si>
  <si>
    <t>Popular Politics and Rebellion in Mexico : Manuel Lozada and la Reforma, 1855-1876</t>
  </si>
  <si>
    <t>https://ebookcentral.proquest.com/lib/viva-active/detail.action?docID=2052154</t>
  </si>
  <si>
    <t>Brittsan, Zachary</t>
  </si>
  <si>
    <t>Mexico - History - War of Reform, 1857-1861</t>
  </si>
  <si>
    <t>Developing the Dead : Mediumship and Selfhood in Cuban Espiritismo</t>
  </si>
  <si>
    <t>https://ebookcentral.proquest.com/lib/viva-active/detail.action?docID=2059108</t>
  </si>
  <si>
    <t>Santo, Diana Esp</t>
  </si>
  <si>
    <t>Cuba - Religion - African influences</t>
  </si>
  <si>
    <t>Contested Powers : The Politics of Energy and Development in Latin America</t>
  </si>
  <si>
    <t>https://ebookcentral.proquest.com/lib/viva-active/detail.action?docID=2068340</t>
  </si>
  <si>
    <t>McNeish, John-Andrew;Borchgrevink, Axel;Logan, Owen</t>
  </si>
  <si>
    <t>Business/Management; Environmental Studies; Economics</t>
  </si>
  <si>
    <t>Economic development -- Political aspects -- Latin America. ; Energy industries -- Environmental aspects -- Latin America. ; Energy policy -- Latin America. ; Power resources -- Economic aspects -- Latin America. ; Power resources -- Political aspects -- Latin America.</t>
  </si>
  <si>
    <t>Negotiating Latinidades, Understanding Identities Within Space</t>
  </si>
  <si>
    <t>https://ebookcentral.proquest.com/lib/viva-active/detail.action?docID=2076776</t>
  </si>
  <si>
    <t>Latin American literature -- History and criticism. ; Literature and society -- Latin America.</t>
  </si>
  <si>
    <t>The Reptant Eagle : Essays on Carlos Fuentes and the Art of the Novel</t>
  </si>
  <si>
    <t>https://ebookcentral.proquest.com/lib/viva-active/detail.action?docID=2076830</t>
  </si>
  <si>
    <t>Cantú, Roberto</t>
  </si>
  <si>
    <t>Fuentes, Carlos -- Criticism and interpretation. ; Fuentes, Carlos -- Knowledge -- Motion pictures.</t>
  </si>
  <si>
    <t>Boricua Power : A Political History of Puerto Ricans in the United States</t>
  </si>
  <si>
    <t>https://ebookcentral.proquest.com/lib/viva-active/detail.action?docID=2081602</t>
  </si>
  <si>
    <t>Sánchez, José Ramón</t>
  </si>
  <si>
    <t>Puerto Ricans - United States - Politics and government</t>
  </si>
  <si>
    <t>Migrant Imaginaries : Latino Cultural Politics in the U. S. -Mexico Borderlands</t>
  </si>
  <si>
    <t>https://ebookcentral.proquest.com/lib/viva-active/detail.action?docID=2081677</t>
  </si>
  <si>
    <t>Camacho, Alicia Schmidt</t>
  </si>
  <si>
    <t>Nation of Nations Ser.</t>
  </si>
  <si>
    <t>Mexicans - Mexican-American Border Region - Politics and government - 20th century</t>
  </si>
  <si>
    <t>Toward Universal Health Coverage and Equity in Latin America and the Caribbean : Evidence from Selected Countries</t>
  </si>
  <si>
    <t>https://ebookcentral.proquest.com/lib/viva-active/detail.action?docID=2081825</t>
  </si>
  <si>
    <t>Dmytraczenko, Tania;Almeida, Gisele</t>
  </si>
  <si>
    <t>Directions in Development - Human Development</t>
  </si>
  <si>
    <t>Universal Coverage - Latin America</t>
  </si>
  <si>
    <t>Health Workforce in Latin America and the Caribbean : An Analysis of Colombia, Costa Rica, Jamaica, Panama, Peru, and Uruguay</t>
  </si>
  <si>
    <t>https://ebookcentral.proquest.com/lib/viva-active/detail.action?docID=2081826</t>
  </si>
  <si>
    <t>Carpio, Carmen;Santiago Bench, Natalia</t>
  </si>
  <si>
    <t>Social Science; Health; Economics</t>
  </si>
  <si>
    <t>Health care sector -- Economics -- Caribbean Region. ; Health care sector -- Economics -- Peru. ; Health care sector -- Economics -- Uruguay. ; Health manpower -- Caribbean Region. ; Health manpower -- Peru. ; Health manpower -- Uruguay.</t>
  </si>
  <si>
    <t>The New War on the Poor : The Production of Insecurity in Latin America</t>
  </si>
  <si>
    <t>https://ebookcentral.proquest.com/lib/viva-active/detail.action?docID=2084603</t>
  </si>
  <si>
    <t>Gledhill, John</t>
  </si>
  <si>
    <t>Latin America -- Economic conditions. ; Latin America -- Economic policy. ; Latin America -- Politics and government.</t>
  </si>
  <si>
    <t>Latinos and the Voting Rights Act : The Search for Racial Purpose</t>
  </si>
  <si>
    <t>https://ebookcentral.proquest.com/lib/viva-active/detail.action?docID=2089505</t>
  </si>
  <si>
    <t>Flores, Henry</t>
  </si>
  <si>
    <t>Hispanic Americans - Legal status, laws, etc - Texas</t>
  </si>
  <si>
    <t>The Paraguayan Harp : From Colonial Transplant to National Emblem</t>
  </si>
  <si>
    <t>https://ebookcentral.proquest.com/lib/viva-active/detail.action?docID=2089508</t>
  </si>
  <si>
    <t>Colman, Alfredo</t>
  </si>
  <si>
    <t>Harpists - Paraguay</t>
  </si>
  <si>
    <t>Nineteenth-Century Spanish America : A Cultural History</t>
  </si>
  <si>
    <t>https://ebookcentral.proquest.com/lib/viva-active/detail.action?docID=2092542</t>
  </si>
  <si>
    <t>Conway, Christopher</t>
  </si>
  <si>
    <t>Transnationalism - Social aspects - Latin America - History - 19th century</t>
  </si>
  <si>
    <t>Shared Prosperity and Poverty Eradication in Latin America and the Caribbean</t>
  </si>
  <si>
    <t>https://ebookcentral.proquest.com/lib/viva-active/detail.action?docID=2093114</t>
  </si>
  <si>
    <t>Cord, Louise;Genoni, María;Rodríguez-Castelán, Carlos</t>
  </si>
  <si>
    <t>Caribbean Area -- Social policy. ; Economic assistance, Domestic -- Caribbean Area. ; Economic assistance, Domestic -- Latin America. ; Economic development -- Caribbean Area. ; Economic development -- Latin America. ; Income distribution -- Caribbean Area. ; Income distribution -- Latin America. ; Latin America -- Social policy.</t>
  </si>
  <si>
    <t>Latin American Cinema</t>
  </si>
  <si>
    <t>https://ebookcentral.proquest.com/lib/viva-active/detail.action?docID=2096798</t>
  </si>
  <si>
    <t>Hart, Stephen M.</t>
  </si>
  <si>
    <t>Film - historia</t>
  </si>
  <si>
    <t>Impossible Returns : Narratives of the Cuban Diaspora</t>
  </si>
  <si>
    <t>https://ebookcentral.proquest.com/lib/viva-active/detail.action?docID=2129480</t>
  </si>
  <si>
    <t>López, Iraida H.</t>
  </si>
  <si>
    <t>Cuba -- Emigration and immigration. ; Cuba -- History. ; Emigration and immigration. ; Repatriation -- Cuba. ; United States -- Emigration and immigration.</t>
  </si>
  <si>
    <t>In Defiance of Boundaries : Anarchism in Latin American History</t>
  </si>
  <si>
    <t>https://ebookcentral.proquest.com/lib/viva-active/detail.action?docID=2130207</t>
  </si>
  <si>
    <t>de Laforcade, Geoffroy;Shaffer, Kirwin</t>
  </si>
  <si>
    <t>Anarchism -- Latin America -- History. ; Anarchism -- Latin America. ; Latin America -- Politics and government -- 20th century. ; Latin America -- Politics and government.</t>
  </si>
  <si>
    <t>The Robber of Memories : A River Journey Through Colombia</t>
  </si>
  <si>
    <t>https://ebookcentral.proquest.com/lib/viva-active/detail.action?docID=2145026</t>
  </si>
  <si>
    <t>Jacobs, Michael</t>
  </si>
  <si>
    <t>Counterpoint Press</t>
  </si>
  <si>
    <t>TRAVEL / South America / General</t>
  </si>
  <si>
    <t>Healthcare Without Borders : Understanding Cuban Medical Internationalism</t>
  </si>
  <si>
    <t>https://ebookcentral.proquest.com/lib/viva-active/detail.action?docID=2147039</t>
  </si>
  <si>
    <t>Kirk, John M.</t>
  </si>
  <si>
    <t>International cooperation. ; Medical assistance, Cuban. ; Medical care -- Cuba -- Methods. ; Medical care. ; Medical policy -- Cuba. ; Medical policy. ; Public health -- Cuba. ; Public health.</t>
  </si>
  <si>
    <t>Latin America, Economic Imperialism and the State : The Political Economy of the External Connection from Independence to the Present</t>
  </si>
  <si>
    <t>https://ebookcentral.proquest.com/lib/viva-active/detail.action?docID=2191172</t>
  </si>
  <si>
    <t>Abel, Christopher;Lewis, Colin M.</t>
  </si>
  <si>
    <t>History: Bloomsbury Academic Collections</t>
  </si>
  <si>
    <t>Latin America -- Dependency on foreign countries. ; Latin America -- Economic policy. ; Latin America -- Foreign economic relations.</t>
  </si>
  <si>
    <t>Pura Belpré Awards : Celebrating Latino Authors and Illustrators</t>
  </si>
  <si>
    <t>https://ebookcentral.proquest.com/lib/viva-active/detail.action?docID=3001630</t>
  </si>
  <si>
    <t>Treviño, Rose Zertuche</t>
  </si>
  <si>
    <t>ALA Editions</t>
  </si>
  <si>
    <t>Belpré Medal -- Bio-bibliography. ; American literature -- Hispanic American authors -- Awards. ; Children''s literature, American -- Awards. ; Picture books for children -- Awards -- United States. ; Children -- Books and reading -- United States. ; Hispanic Americans in literature -- Bibliography. ; Hispanic American authors -- Biography.</t>
  </si>
  <si>
    <t>Finance for Development : Latin America in Comparative Perspective</t>
  </si>
  <si>
    <t>https://ebookcentral.proquest.com/lib/viva-active/detail.action?docID=3004449</t>
  </si>
  <si>
    <t>Stallings, Barbara;Studart, Rogerio</t>
  </si>
  <si>
    <t>Finance -- Latin America. ; Latin America -- Economic conditions.</t>
  </si>
  <si>
    <t>Mexican Immigrants in the Labor Market : The Strength of Strong Ties</t>
  </si>
  <si>
    <t>https://ebookcentral.proquest.com/lib/viva-active/detail.action?docID=3016789</t>
  </si>
  <si>
    <t>Amado, Maria Luisa</t>
  </si>
  <si>
    <t>Foreign workers, Mexican -- Georgia -- Atlanta. ; Foreign workers, Mexican -- Social networks -- Georgia -- Atlanta.</t>
  </si>
  <si>
    <t>Building a Culture of Lawfulness : Law Enforcement, Legal Reasoning, and Delinquency among Mexican Yourth</t>
  </si>
  <si>
    <t>https://ebookcentral.proquest.com/lib/viva-active/detail.action?docID=3016790</t>
  </si>
  <si>
    <t>Grant, Heath B.</t>
  </si>
  <si>
    <t>Juvenile delinquency -- Prevention. ; Juvenile delinquency -- Mexico. ; Youth -- Mexico -- Attitudes. ; Criminal justice, Administration of -- Mexico -- Public opinion. ; Law enforcement -- Mexico -- Public opinion.</t>
  </si>
  <si>
    <t>Immigration, Acculturation, and Health : The Mexican Diaspora</t>
  </si>
  <si>
    <t>https://ebookcentral.proquest.com/lib/viva-active/detail.action?docID=3016799</t>
  </si>
  <si>
    <t>Reichman, Jill S.</t>
  </si>
  <si>
    <t>Mexican American women -- Health and hygiene -- New Mexico -- Santa Fe County. ; Mexican Americans -- Medical care -- New Mexico -- Santa Fe County. ; Health attitudes.</t>
  </si>
  <si>
    <t>Politics of Citizenship of Mexican Migrants</t>
  </si>
  <si>
    <t>https://ebookcentral.proquest.com/lib/viva-active/detail.action?docID=3016800</t>
  </si>
  <si>
    <t xml:space="preserve">Castañeda, Alejandra;Castaneda, Alejandra </t>
  </si>
  <si>
    <t>Foreign workers, Mexican -- United States -- Social conditions. ; Foreign workers, Mexican -- Civil rights -- United States. ; Foreign workers, Mexican -- United States -- Political activity. ; Political rights -- United States.</t>
  </si>
  <si>
    <t>Skilled Immigrant and Native Workers in the United States : The Economic Competition Debate and Beyond</t>
  </si>
  <si>
    <t>https://ebookcentral.proquest.com/lib/viva-active/detail.action?docID=3016814</t>
  </si>
  <si>
    <t>Batalova, Jeanne</t>
  </si>
  <si>
    <t>Immigrants -- United States. ; Skilled labor -- United States. ; Women immigrants -- United States. ; Professional employees. ; United States -- Emigration and immigration -- Economic aspects.</t>
  </si>
  <si>
    <t>Migrant Death : Border Safety and Situational Crime Prevention on the U.S. - Mexico Divide</t>
  </si>
  <si>
    <t>https://ebookcentral.proquest.com/lib/viva-active/detail.action?docID=3016827</t>
  </si>
  <si>
    <t>Guerette, Rob T.</t>
  </si>
  <si>
    <t>U.S. Border Patrol. ; Border security -- Mexican-American Border Region. ; Illegal aliens -- Protection -- Mexican-American Border Region. ; Immigrants -- Protection -- Mexican-American Border Region. ; Illegal aliens -- Crimes against -- Mexican-American Border Region -- Prevention. ; Immigrants -- Crimes against -- Mexican-American Border Region -- Prevention.</t>
  </si>
  <si>
    <t>Mexican Immigrant Parents Advocating for School Reform</t>
  </si>
  <si>
    <t>https://ebookcentral.proquest.com/lib/viva-active/detail.action?docID=3016854</t>
  </si>
  <si>
    <t>Reyes-Cruz, Mariolga</t>
  </si>
  <si>
    <t>Mexican American students -- Education. ; Education -- Parent participation -- United States. ; Children of immigrants -- Education -- United States. ; Educational change -- United States.</t>
  </si>
  <si>
    <t>Colombia: U.S. Relations and Issues</t>
  </si>
  <si>
    <t>https://ebookcentral.proquest.com/lib/viva-active/detail.action?docID=3018260</t>
  </si>
  <si>
    <t>Sorrell, Landen S.</t>
  </si>
  <si>
    <t>Nova Science Publishers, Incorporated</t>
  </si>
  <si>
    <t>Latin American Political, Economic, and Security Issues</t>
  </si>
  <si>
    <t>Diplomatic and consular service, American -- Colombia. ; United States -- Relations -- Colombia. ; Colombia -- Relations -- United States. ; Colombia.</t>
  </si>
  <si>
    <t>Belonging to Puerto Rico and America : New York Puerto Rican Children's Developing Conceptualization of Their Own Cultural Group</t>
  </si>
  <si>
    <t>https://ebookcentral.proquest.com/lib/viva-active/detail.action?docID=3018457</t>
  </si>
  <si>
    <t>McNamee, Abigal Stahl</t>
  </si>
  <si>
    <t>Puerto Rican children -- Ethnic identity. ; Puerto Rican children -- New York (State) -- New York -- Social conditions. ; Puerto Rican children -- New York (State) -- New York -- Social life and customs. ; Puerto Ricans -- New York (State) -- New York. ; Bronx (New York, NY) -- Social conditions.</t>
  </si>
  <si>
    <t>Restoring Degraded Landscapes with Native Species in Latin America</t>
  </si>
  <si>
    <t>https://ebookcentral.proquest.com/lib/viva-active/detail.action?docID=3018637</t>
  </si>
  <si>
    <t>Montagnini, Florencia;Finney, Christopher</t>
  </si>
  <si>
    <t>Climate Change and its Causes, Effects and Prediction</t>
  </si>
  <si>
    <t>Agriculture</t>
  </si>
  <si>
    <t>Forest restoration -- Latin America. ; Reforestation -- Latin America.</t>
  </si>
  <si>
    <t>International Trade Relations of Mexico: A Window to the World</t>
  </si>
  <si>
    <t>https://ebookcentral.proquest.com/lib/viva-active/detail.action?docID=3019038</t>
  </si>
  <si>
    <t>Rajagopal</t>
  </si>
  <si>
    <t>Trade Issues, Policies and Laws</t>
  </si>
  <si>
    <t>International business enterprises -- Mexico. ; Mexico -- Commerce. ; Mexico -- Foreign economic relations.</t>
  </si>
  <si>
    <t>Latin American Issues and Challenges</t>
  </si>
  <si>
    <t>https://ebookcentral.proquest.com/lib/viva-active/detail.action?docID=3019244</t>
  </si>
  <si>
    <t>Naciamento, Lara;Sousa, Gustavo</t>
  </si>
  <si>
    <t>Latin America -- Economic conditions -- 21st century. ; Latin America -- Social conditions -- 21st century.</t>
  </si>
  <si>
    <t>The Psychological Impact of Living Under Violence and Poverty in Brazil</t>
  </si>
  <si>
    <t>https://ebookcentral.proquest.com/lib/viva-active/detail.action?docID=3019457</t>
  </si>
  <si>
    <t>Lovisi, Giovani Marcos;Mari, Jair de Jesus;Valencia, Elie S.</t>
  </si>
  <si>
    <t>Psychology Research Progress</t>
  </si>
  <si>
    <t>Mental health -- Brazil. ; Violence -- Brazil -- Psychological aspects. ; Poverty -- Brazil -- Psychological aspects.</t>
  </si>
  <si>
    <t>Mexico: Economic, Political and Social Issues</t>
  </si>
  <si>
    <t>https://ebookcentral.proquest.com/lib/viva-active/detail.action?docID=3019745</t>
  </si>
  <si>
    <t>Castro, Maria L.;Navarro, Irene P.</t>
  </si>
  <si>
    <t>Mexico -- Economic conditions -- 1994- ; Mexico -- Social conditions -- 21st century. ; Mexico -- Politics and government -- 2000-</t>
  </si>
  <si>
    <t>Cultural Understanding in EFL Reading in Argentina</t>
  </si>
  <si>
    <t>https://ebookcentral.proquest.com/lib/viva-active/detail.action?docID=3020005</t>
  </si>
  <si>
    <t xml:space="preserve">Porto, Melina;Porto, </t>
  </si>
  <si>
    <t>Focus on Civilizations and Cultures</t>
  </si>
  <si>
    <t>English language -- Argentina. ; Language and languages -- Study and teaching -- Argentina. ; Second language acquisition -- Argentina. ; Language and culture -- Argentina.</t>
  </si>
  <si>
    <t>Democracy in the Making: Municipal Reforms, Civil Society, and the Brazilian Workers' Party</t>
  </si>
  <si>
    <t>https://ebookcentral.proquest.com/lib/viva-active/detail.action?docID=3020103</t>
  </si>
  <si>
    <t>Ottman, Goetz</t>
  </si>
  <si>
    <t>Partido dos Trabalhadores (Brazil) ; Democratization -- Brazil -- Case studies. ; Local government -- Brazil -- Case studies. ; Civil society -- Brazil -- Case studies. ; Brazil -- Politics and government -- 2003-</t>
  </si>
  <si>
    <t>Panama: Politics and Economics</t>
  </si>
  <si>
    <t>https://ebookcentral.proquest.com/lib/viva-active/detail.action?docID=3020795</t>
  </si>
  <si>
    <t>Colson, Ricardo</t>
  </si>
  <si>
    <t>Politics and Economics of Latin America</t>
  </si>
  <si>
    <t>Panama -- Economic policy. ; Panama -- Foreign economic relations -- United States. ; United States -- Foreign economic relations -- Panama. ; Panama -- Politics and government -- 1981-</t>
  </si>
  <si>
    <t>Mexico: Background and Issues</t>
  </si>
  <si>
    <t>https://ebookcentral.proquest.com/lib/viva-active/detail.action?docID=3020838</t>
  </si>
  <si>
    <t>Bradley, RIchard C.</t>
  </si>
  <si>
    <t>Countries, Regional Studies, Trading Blocks, Unions, World Organizations</t>
  </si>
  <si>
    <t>Drug traffic -- Mexico. ; United States -- Foreign relations -- Mexico. ; Mexico -- Foreign relations -- United States. ; United States -- Foreign economic relations -- Mexico. ; Mexico -- Foreign economic relations -- United States. ; Mexico -- Economic conditions. ; Mexico -- Strategic aspects.</t>
  </si>
  <si>
    <t>Politics and Economics of Latin America. Volume 7</t>
  </si>
  <si>
    <t>https://ebookcentral.proquest.com/lib/viva-active/detail.action?docID=3020871</t>
  </si>
  <si>
    <t>Urbonas, Tomas A.</t>
  </si>
  <si>
    <t>Latin America--Politics and government.</t>
  </si>
  <si>
    <t>Paradoxes of Utopia : Anarchist Culture and Politics in Buenos Aires, 1890-1910</t>
  </si>
  <si>
    <t>https://ebookcentral.proquest.com/lib/viva-active/detail.action?docID=3028495</t>
  </si>
  <si>
    <t>Suriano, Juan</t>
  </si>
  <si>
    <t>Anarchism -- Argentina -- Buenos Aires -- History. ; Libertarianism -- Argentina -- Buenos Aires -- History. ; Political culture -- Argentina -- Buenos Aires -- History. ; Buenos Aires (Argentina) -- History.</t>
  </si>
  <si>
    <t>Zapatista Spring : Anatomy of a Rebel Water Project &amp; the Lessons of International Solidarity</t>
  </si>
  <si>
    <t>https://ebookcentral.proquest.com/lib/viva-active/detail.action?docID=3029334</t>
  </si>
  <si>
    <t>Ryan, Ramor</t>
  </si>
  <si>
    <t>Water resources development -- Mexico -- Chiapas. ; Chiapas (Mexico) -- History -- Peasant Uprising, 1994-</t>
  </si>
  <si>
    <t>A Study of the Secondary School History Curriculum in Chile from Colonial Times to the Present</t>
  </si>
  <si>
    <t>https://ebookcentral.proquest.com/lib/viva-active/detail.action?docID=3035036</t>
  </si>
  <si>
    <t>Zúñiga, Carmen Gloria;Clarke, Simon;Zúñiga, Carmen Gloria;O'Donoghue, Thomas</t>
  </si>
  <si>
    <t>History--Study and teaching (Secondary)--Chile.</t>
  </si>
  <si>
    <t>Counseling Hispanics Through Loss, Grief, and Bereavement : A Guide for Mental Health Professionals</t>
  </si>
  <si>
    <t>https://ebookcentral.proquest.com/lib/viva-active/detail.action?docID=3035204</t>
  </si>
  <si>
    <t xml:space="preserve">Houben, Ligia M.;Houben, Ligia M ;Ligia M Houben Ma, Cpc </t>
  </si>
  <si>
    <t>Grief therapy. ; Bereavement. ; Loss (Psychology) ; Hispanic Americans -- Counseling of.</t>
  </si>
  <si>
    <t>Troubling Gender : Youth and Cumbiain Argentina's Music Scene</t>
  </si>
  <si>
    <t>https://ebookcentral.proquest.com/lib/viva-active/detail.action?docID=3037694</t>
  </si>
  <si>
    <t>Vila, Pablo;Seman, Pablo;Martin, Eloisa;Carozzi, María Julia</t>
  </si>
  <si>
    <t>Popular music - Social aspects - Argentina</t>
  </si>
  <si>
    <t>Seeking Inalienable Rights : Texans and Their Quests for Justice</t>
  </si>
  <si>
    <t>https://ebookcentral.proquest.com/lib/viva-active/detail.action?docID=3037747</t>
  </si>
  <si>
    <t>Reid, Debra A.</t>
  </si>
  <si>
    <t>Centennial Series of the Association of Former Students, Texas A&amp;M University</t>
  </si>
  <si>
    <t>Civil rights movements -- Texas -- History -- 19th century. ; Civil rights movements -- Texas -- History -- 20th century. ; Civil rights -- Texas -- History -- 19th century. ; Civil rights -- Texas -- History -- 20th century. ; Minorities -- Civil rights -- Texas -- History -- 19th century. ; Minorities -- Civil rights -- Texas -- History -- 20th century. ; Citizenship -- Texas -- History -- 19th century.</t>
  </si>
  <si>
    <t>Tejano Leadership in Mexican and Revolutionary Texas</t>
  </si>
  <si>
    <t>https://ebookcentral.proquest.com/lib/viva-active/detail.action?docID=3037768</t>
  </si>
  <si>
    <t xml:space="preserve">de la Teja, JesÃºs F.;Weber, David J. </t>
  </si>
  <si>
    <t>Elma Dill Russell Spencer Series in the West and Southwest</t>
  </si>
  <si>
    <t>Mexican American leadership -- Texas -- History -- 19th century. ; Mexican Americans -- Texas -- History -- 19th century. ; Texas -- History -- To 1846. ; Texas -- Politics and government -- To 1846.</t>
  </si>
  <si>
    <t>To the Line of Fire! : Mexican Texans and World War I</t>
  </si>
  <si>
    <t>https://ebookcentral.proquest.com/lib/viva-active/detail.action?docID=3037770</t>
  </si>
  <si>
    <t>Ramírez, José A.</t>
  </si>
  <si>
    <t>C. A. Brannen</t>
  </si>
  <si>
    <t>World War, 1914-1918 -- Participation, Mexican American. ; Mexican American soldiers -- Texas -- History -- 20th century. ; Hispanic American veterans -- Texas -- History -- 20th century. ; Mexican Americans -- Texas -- History -- 20th century. ; Mexican Americans -- Civil rights -- Texas -- History -- 20th century.</t>
  </si>
  <si>
    <t>Traveling the Shore of the Spanish Sea : The Gulf Coast of Texas and Mexico</t>
  </si>
  <si>
    <t>https://ebookcentral.proquest.com/lib/viva-active/detail.action?docID=3037779</t>
  </si>
  <si>
    <t>Winningham, Geoff</t>
  </si>
  <si>
    <t>Charles and Elizabeth Prothro Texas Photography</t>
  </si>
  <si>
    <t>Geography/Travel; History</t>
  </si>
  <si>
    <t>Winningham, Geoff -- Travel -- Texas -- Gulf Coast. ; Winningham, Geoff -- Travel -- Texas -- Gulf Coast -- Pictorial works. ; Winningham, Geoff -- Travel -- Mexico -- Gulf Coast. ; Winningham, Geoff -- Travel -- Mexico -- Gulf Coast -- Pictorial works. ; Gulf Coast (Tex.) -- Description and travel. ; Gulf Coast (Tex.) -- Pictorial works. ; Gulf Coast (Mexico) -- Description and travel.</t>
  </si>
  <si>
    <t>Chilean Modern Architecture since 1950</t>
  </si>
  <si>
    <t>https://ebookcentral.proquest.com/lib/viva-active/detail.action?docID=3037789</t>
  </si>
  <si>
    <t xml:space="preserve">Oyarzun, Fernando Pérez;de Arce, Rodrigo Pérez;Torrent, Horacio;Quantrill, Malcolm William ;Webb, Bruce </t>
  </si>
  <si>
    <t>Studies in Architecture and Culture</t>
  </si>
  <si>
    <t>Architecture, Domestic -- Chile -- History -- 20th century. ; Architecture, Domestic -- Chile -- History -- 21st century. ; Architecture -- Environmental aspects -- Chile. ; Architecture -- Conservation and restoration -- Chile. ; Vernacular architecture -- Chile -- Valparaíso. ; Valparaíso (Chile) -- Buildings, structures, etc.</t>
  </si>
  <si>
    <t>Tío Cowboy : Juan Salinas, Rodeo Roper and Horseman</t>
  </si>
  <si>
    <t>https://ebookcentral.proquest.com/lib/viva-active/detail.action?docID=3037805</t>
  </si>
  <si>
    <t>Palacios, Ricardo D.</t>
  </si>
  <si>
    <t>Fronteras Series, sponsored by Texas A&amp;M International University</t>
  </si>
  <si>
    <t>Sport &amp;amp; Recreation; Fine Arts</t>
  </si>
  <si>
    <t>Salinas, Juan Light, -- 1901-1995. ; Rodeo performers -- United States -- Biography. ; Steer roping -- United States. ; Cowboys -- United States -- Biography. ; Mexican Americans -- Texas -- Biography. ; Texas -- Biography.</t>
  </si>
  <si>
    <t>Wealth of Selves : Multiple Identities, Mestiza Consciousness, and the Subject of Politics</t>
  </si>
  <si>
    <t>https://ebookcentral.proquest.com/lib/viva-active/detail.action?docID=3037814</t>
  </si>
  <si>
    <t>Barvosa, Edwina</t>
  </si>
  <si>
    <t>Cultural pluralism -- Political aspects. ; Identity (Philosophical concept) -- Political aspects. ; Cultural pluralism -- Psychological aspects. ; Hispanic Americans -- Ethnic identity.</t>
  </si>
  <si>
    <t>Building the Borderlands : A Transnational History of Irrigated Cotton along the Mexico-Texas Border</t>
  </si>
  <si>
    <t>https://ebookcentral.proquest.com/lib/viva-active/detail.action?docID=3037833</t>
  </si>
  <si>
    <t>Walsh, Casey</t>
  </si>
  <si>
    <t>Texas A and M University, Environmental History</t>
  </si>
  <si>
    <t>Cotton farmers -- Mexican-American Border Region -- History. ; Cotton trade -- Mexican-American Border Region -- History. ; Irrigation farming -- Mexican-American Border Region -- History.</t>
  </si>
  <si>
    <t>Salt Warriors : Insurgency on the Rio Grande</t>
  </si>
  <si>
    <t>https://ebookcentral.proquest.com/lib/viva-active/detail.action?docID=3037834</t>
  </si>
  <si>
    <t>Cool, Paul</t>
  </si>
  <si>
    <t>Canseco-Keck History Series</t>
  </si>
  <si>
    <t>Mexican Americans -- Texas -- El Paso -- Politics and government -- 19th century. ; Salt industry and trade -- Political aspects -- Texas -- El Paso -- History -- 19th century. ; Insurgency -- Texas -- El Paso -- Politics and government -- 19th century. ; Government, Resistance to -- Texas -- El Paso -- Politics and government -- 19th century. ; El Paso (Tex.) -- History -- 19th century. ; Rio Grande Region -- History -- 19th century. ; El Paso (Tex.) -- Politics and government -- 19th century.</t>
  </si>
  <si>
    <t>Kineño Remembers : From the King Ranch to the White House</t>
  </si>
  <si>
    <t>https://ebookcentral.proquest.com/lib/viva-active/detail.action?docID=3037836</t>
  </si>
  <si>
    <t>Cavazos, Lauro F.</t>
  </si>
  <si>
    <t>Perspectives on South Texas</t>
  </si>
  <si>
    <t>History; Education</t>
  </si>
  <si>
    <t>Cavazos, Lauro. ; Bush, George, -- 1924- -- Friends and associates. ; United States. -- Dept. of Education -- Officials and employees -- Biography. ; Cabinet officers -- United States -- Biography. ; Hispanic Americans -- Biography. ; King Ranch (Tex.) -- Biography.</t>
  </si>
  <si>
    <t>Latino Sun, Rising : Our Spanish-Speaking U.S. World</t>
  </si>
  <si>
    <t>https://ebookcentral.proquest.com/lib/viva-active/detail.action?docID=3037842</t>
  </si>
  <si>
    <t>Portales, Marco</t>
  </si>
  <si>
    <t>Portales, Marco, -- 1948- ; Mexican Americans -- Biography. ; Mexican American teachers -- Biography. ; Mexican Americans -- Ethnic identity. ; Mexican Americans -- Social conditions. ; Hispanic Americans -- Social conditions. ; Texas, South -- Biography.</t>
  </si>
  <si>
    <t>Cortina : Defending the Mexican Name in Texas</t>
  </si>
  <si>
    <t>https://ebookcentral.proquest.com/lib/viva-active/detail.action?docID=3037846</t>
  </si>
  <si>
    <t>Thompson, Jerry D.</t>
  </si>
  <si>
    <t>Fronteras</t>
  </si>
  <si>
    <t>Cortina, Juan N. -- (Juan Nepomuceno), -- 1824-1894. ; Outlaws -- Mexican-American Border Region -- Biography. ; Revolutionaries -- Mexican-American Border Region -- Biography. ; Mexican Americans -- Civil rights -- Texas -- History -- 19th century. ; Mexican-American Border Region -- History -- 19th century. ; Mexican-American Border Region -- History, Military -- 19th century. ; Lower Rio Grande Valley (Tex.) -- History -- 19th century.</t>
  </si>
  <si>
    <t>Space and Place in the Mexican Landscape : The Evolution of a Colonial City</t>
  </si>
  <si>
    <t>https://ebookcentral.proquest.com/lib/viva-active/detail.action?docID=3037875</t>
  </si>
  <si>
    <t xml:space="preserve">Arvizu, Carlos;Abonce, Ramón;Núñez, Fernando;Quantrill, Malcolm William </t>
  </si>
  <si>
    <t>City planning -- Mexico -- Querétaro -- History. ; Landscape assessment -- Mexico. ; Public spaces -- Mexico. ; Urbanization -- Mexico -- Querétaro -- History.</t>
  </si>
  <si>
    <t>Mexican Americans and Sports : A Reader on Athletics and Barrio Life</t>
  </si>
  <si>
    <t>https://ebookcentral.proquest.com/lib/viva-active/detail.action?docID=3037878</t>
  </si>
  <si>
    <t>Iber, Jorge;Regalado, Samuel O.</t>
  </si>
  <si>
    <t>Mexican American athletes--Social conditions.</t>
  </si>
  <si>
    <t>They All Want Magic : Curanderas and Folk Healing</t>
  </si>
  <si>
    <t>https://ebookcentral.proquest.com/lib/viva-active/detail.action?docID=3037884</t>
  </si>
  <si>
    <t>De La Portilla , Elizabeth</t>
  </si>
  <si>
    <t>Rio Grande/Río Bravo: Borderlands Culture and Traditions</t>
  </si>
  <si>
    <t>Hispanic American women healers -- Texas -- San Antonio. ; Medical anthropology -- Mexican-American Border Region. ; Healing -- Mexican-American Border Region -- Religious aspects. ; Herbs -- Therapeutic use. ; Biculturalism -- Mexican-American Border Region. ; Mexican-American Border Region -- Civilization.</t>
  </si>
  <si>
    <t>Legacy of Américo Paredes</t>
  </si>
  <si>
    <t>https://ebookcentral.proquest.com/lib/viva-active/detail.action?docID=3037893</t>
  </si>
  <si>
    <t>Morín, José R.</t>
  </si>
  <si>
    <t>Rio Grande/Río Bravo: Borderlands Cultu</t>
  </si>
  <si>
    <t>Paredes, Américo, -- 1915-1999. ; Paredes, Américo, -- 1915-1999. -- With his pistol in his hand. ; Mexican American authors -- Texas -- Biography. ; Authors, American -- 20th century -- Biography. ; Folklorists -- United States -- Biography.</t>
  </si>
  <si>
    <t>Farm Workers and the Churches : The Movement in California and Texas</t>
  </si>
  <si>
    <t>https://ebookcentral.proquest.com/lib/viva-active/detail.action?docID=3037896</t>
  </si>
  <si>
    <t>Watt, Alan J.</t>
  </si>
  <si>
    <t>Chavez, Cesar, -- 1927-1993. ; National Farm Workers Association -- History. ; United Farm Workers Organizing Committee -- History. ; United Farm Workers -- History. ; Church work with migrant labor -- California -- History -- 20th century. ; Church work with migrant labor -- Texas -- History -- 20th century. ; Solidarity -- Religious aspects -- Christianity.</t>
  </si>
  <si>
    <t>Voices in the Kitchen : Views of Food and the World from Working-Class Mexican and Mexican American Women</t>
  </si>
  <si>
    <t>https://ebookcentral.proquest.com/lib/viva-active/detail.action?docID=3037905</t>
  </si>
  <si>
    <t>Abarca, Meredith E.</t>
  </si>
  <si>
    <t>Cooking, Mexican. ; Cooking, American. ; Food habits.</t>
  </si>
  <si>
    <t>Tejanos in Gray : Civil War Letters of Captains Joseph Rafael de la Garza and Manuel Yturri</t>
  </si>
  <si>
    <t>https://ebookcentral.proquest.com/lib/viva-active/detail.action?docID=3037909</t>
  </si>
  <si>
    <t xml:space="preserve">Thompson, Jerry;Juarez, Jose Roberto </t>
  </si>
  <si>
    <t>Garza, Joseph Rafael de la, -- 1838-1864 -- Correspondence. ; Yturri Castillo, Manuel -- Correspondence. ; Mexican American soldiers -- Texas -- Correspondence. ; Mexican Americans -- Texas -- History -- 19th century -- Sources. ; Texas -- History -- Civil War, 1861-1865 -- Personal narratives. ; United States -- History -- Civil War, 1861-1865 -- Personal narratives, Confederate. ; Texas -- History -- Civil War, 1861-1865 -- Participation, Mexican American -- Sources.</t>
  </si>
  <si>
    <t>Claiming Rights and Righting Wrongs in Texas : Mexican Workers and Job Politics During World War II</t>
  </si>
  <si>
    <t>https://ebookcentral.proquest.com/lib/viva-active/detail.action?docID=3037920</t>
  </si>
  <si>
    <t>Zamora, Emilio;Quiñones, Juan Gómez</t>
  </si>
  <si>
    <t>United States. -- Committee on Fair Employment Practice -- History -- 20th century. ; League of United Latin American Citizens -- History -- 20th century. ; Foreign workers, Mexican -- Texas -- History -- 20th century. ; World War, 1939-1945 -- Mexican Americans. ; Mexican Americans -- Employment -- Texas -- History -- 20th century. ; Mexican Americans -- Civil rights -- Texas -- History -- 20th century. ; Mexican Americans -- Texas -- Social conditions -- 20th century.</t>
  </si>
  <si>
    <t>Spanish Water, Anglo Water : Early Development in San Antonio</t>
  </si>
  <si>
    <t>https://ebookcentral.proquest.com/lib/viva-active/detail.action?docID=3037921</t>
  </si>
  <si>
    <t>Porter, Charles R.</t>
  </si>
  <si>
    <t>Economics; Environmental Studies; Business/Management; Agriculture</t>
  </si>
  <si>
    <t>Water rights -- Texas -- San Antonio -- History. ; Water-supply -- Social aspects -- Texas -- San Antonio -- History. ; Water-supply -- Political aspects -- Texas -- San Antonio -- History. ; Water -- Texas -- San Antonio -- Distribution -- Management -- History. ; Land tenure -- Texas -- San Antonio -- History. ; Irrigation canals and flumes -- Texas -- San Antonio -- History. ; San Antonio (Tex.) -- History.</t>
  </si>
  <si>
    <t>LULAC, Mexican Americans, and National Policy</t>
  </si>
  <si>
    <t>https://ebookcentral.proquest.com/lib/viva-active/detail.action?docID=3037944</t>
  </si>
  <si>
    <t>Kaplowitz, Craig A.</t>
  </si>
  <si>
    <t>League of United Latin American Citizens -- History. ; Mexican Americans -- Civil rights -- History -- 20th century. ; Mexican Americans -- Politics and government -- 20th century. ; Mexican Americans -- Government policy. ; United States -- Ethnic relations. ; United States -- Social policy.</t>
  </si>
  <si>
    <t>War along the Border : The Mexican Revolution and Tejano Communities</t>
  </si>
  <si>
    <t>https://ebookcentral.proquest.com/lib/viva-active/detail.action?docID=3038034</t>
  </si>
  <si>
    <t>De LeÃ³n, Arnoldo;HernÃ¡ndez, Sonia;Kreneck, Thomas H.</t>
  </si>
  <si>
    <t>U of Houston Mexican American Studies</t>
  </si>
  <si>
    <t>Mexican Americans -- Texas -- History -- 20th century -- Congresses. ; Mexican American women -- Texas -- History -- 20th century -- Congresses. ; Mexico -- History -- Revolution, 1910-1920 -- Mexican Americans -- Congresses. ; Mexico -- History -- Revolution, 1910-1920 -- Social aspects -- Congresses. ; Texas -- History -- 1846-1950 -- Congresses. ; Mexican-American Border Region -- History -- 20th century -- Congresses. ; Mexico -- History -- Revolution, 1910-1920 -- African Americans -- Congresses.</t>
  </si>
  <si>
    <t>Continental Divide : Wildlife, People, and the Border Wall</t>
  </si>
  <si>
    <t>https://ebookcentral.proquest.com/lib/viva-active/detail.action?docID=3038036</t>
  </si>
  <si>
    <t>Schlyer, Krista;Rappaport Clark, Jamie</t>
  </si>
  <si>
    <t>Ecology -- Mexican-American Border Region -- Pictorial works. ; Continental Divide Wilderness (N.M.) -- Pictorial works.</t>
  </si>
  <si>
    <t>South America and the Treaty of Versailles : The Peace Conferences of 1919-23 and their Aftermath</t>
  </si>
  <si>
    <t>https://ebookcentral.proquest.com/lib/viva-active/detail.action?docID=3038294</t>
  </si>
  <si>
    <t>Streeter, Michael;Sharp, Alan</t>
  </si>
  <si>
    <t>Haus Publishing</t>
  </si>
  <si>
    <t>Makers of the Modern World</t>
  </si>
  <si>
    <t>World War, 1914-1918 -- South America. ; World War, 1914-1918 -- Peace. ; South America -- Foreign relations -- 20th century.</t>
  </si>
  <si>
    <t>America and the Americas : The United States in the Western Hemisphere</t>
  </si>
  <si>
    <t>https://ebookcentral.proquest.com/lib/viva-active/detail.action?docID=3038858</t>
  </si>
  <si>
    <t>Langley, Lester D.</t>
  </si>
  <si>
    <t>The United States and the Americas Ser.</t>
  </si>
  <si>
    <t>Latin America -- Relations -- United States. ; United States -- Relations -- Latin America.</t>
  </si>
  <si>
    <t>Mexico and the United States : Ambivalent Vistas (4th Edition)</t>
  </si>
  <si>
    <t>https://ebookcentral.proquest.com/lib/viva-active/detail.action?docID=3038859</t>
  </si>
  <si>
    <t>Raat, W. Dirk;Brescia, Michael M.</t>
  </si>
  <si>
    <t>United States -- Relations -- Mexico. ; Mexico -- Relations -- United States. ; Mexico -- History -- 1810-</t>
  </si>
  <si>
    <t>The Year of the Lash : Free People of Color in Cuba and the Nineteenth-Century Atlantic World</t>
  </si>
  <si>
    <t>https://ebookcentral.proquest.com/lib/viva-active/detail.action?docID=3039075</t>
  </si>
  <si>
    <t>Reid-Vazquez, Michele</t>
  </si>
  <si>
    <t>Early American Places Ser.</t>
  </si>
  <si>
    <t>Blacks -- Cuba -- History -- 19th century. ; Social conflict -- Cuba -- History -- 19th century. ; Blacks -- Atlantic Ocean Region -- History -- 19th century. ; Cuba -- History -- Negro Conspiracy, 1844. ; Cuba -- History -- Negro Conspiracy, 1844 -- Influence. ; Cuba -- Race relations -- History -- 19th century.</t>
  </si>
  <si>
    <t>They Saved the Crops : Labor, Landscape, and the Struggle over Industrial Farming in Bracero-Era California</t>
  </si>
  <si>
    <t>https://ebookcentral.proquest.com/lib/viva-active/detail.action?docID=3039093</t>
  </si>
  <si>
    <t>Mitchell, Don;Heynen, Nik;Wright, Melissa</t>
  </si>
  <si>
    <t>Geographies of Justice and Social Transformation Ser.</t>
  </si>
  <si>
    <t>Migrant agricultural laborers -- California -- History -- 20th century. ; Agricultural laborers -- California -- History -- 20th century. ; Foreign workers, Mexican -- United States -- History -- 20th century. ; Human geography -- California.</t>
  </si>
  <si>
    <t>The Power of Song : And Other Sephardic Tales</t>
  </si>
  <si>
    <t>https://ebookcentral.proquest.com/lib/viva-active/detail.action?docID=3039372</t>
  </si>
  <si>
    <t xml:space="preserve">Roth, Rita;Ginsburg, Alexa;Roth, Rita ;Ginsburg, Alexa </t>
  </si>
  <si>
    <t>The Jewish Publication Society</t>
  </si>
  <si>
    <t>Sephardim -- Folklore. ; Jews -- Spain -- Folklore. ; Jews -- Portugal -- Folklore. ; Tales.</t>
  </si>
  <si>
    <t>Women's Suffrage Movement and Feminism in Argentina from Roca to Peron</t>
  </si>
  <si>
    <t>https://ebookcentral.proquest.com/lib/viva-active/detail.action?docID=3039417</t>
  </si>
  <si>
    <t>Hammond, Gregory</t>
  </si>
  <si>
    <t>Women -- Suffrage -- Argentina -- History. ; Feminism -- Argentina -- History.</t>
  </si>
  <si>
    <t>Slavery, Freedom, and Abolition in Latin America and the Atlantic World</t>
  </si>
  <si>
    <t>https://ebookcentral.proquest.com/lib/viva-active/detail.action?docID=3039419</t>
  </si>
  <si>
    <t>Slavery -- Latin America -- History. ; Slaves -- Emancipation -- Latin America -- History. ; Antislavery movements -- Latin America -- History. ; Latin America -- History. ; Latin America -- Biography.</t>
  </si>
  <si>
    <t>Blurred Borders : Transnational Migration Between the Hispanic Caribbean and the United States</t>
  </si>
  <si>
    <t>https://ebookcentral.proquest.com/lib/viva-active/detail.action?docID=3039490</t>
  </si>
  <si>
    <t>Duany, Jorge</t>
  </si>
  <si>
    <t>West Indians -- United States. ; West Indians -- Puerto Rico. ; Transnationalism. ; Caribbean Area -- Emigration and immigration. ; United States -- Emigration and immigration. ; Puerto Rico -- Emigration and immigration.</t>
  </si>
  <si>
    <t>After Oppression</t>
  </si>
  <si>
    <t>https://ebookcentral.proquest.com/lib/viva-active/detail.action?docID=3039648</t>
  </si>
  <si>
    <t xml:space="preserve">Popovski, Vesselin;Serrano, Mónica;United Nations University Press, </t>
  </si>
  <si>
    <t>UNUP</t>
  </si>
  <si>
    <t>Transitional justice -- Case studies. ; Human rights -- Case studies. ; Transitional justice -- Latin America. ; Transitional justice -- Europe, Eastern. ; Peace-building. ; Reconciliation.</t>
  </si>
  <si>
    <t>Conquered Conquistadors : The &lt;i&gt;Lienzo de Quauhquechollan,&lt;/i&gt; A Nahua Vision of the Conquest of Guatemala</t>
  </si>
  <si>
    <t>https://ebookcentral.proquest.com/lib/viva-active/detail.action?docID=3039694</t>
  </si>
  <si>
    <t>Asselbergs, Florine</t>
  </si>
  <si>
    <t>University Press of Colorado</t>
  </si>
  <si>
    <t>Mesoamerican Worlds</t>
  </si>
  <si>
    <t>Lienzo de Quauhquechollan. ; Manuscripts, Nahuatl -- Guatemala. ; Aztecs -- History -- Sources. ; Mexico -- History -- Conquest, 1519-1540. ; Guatemala -- History -- To 1500. ; Guatemala -- Maps -- Early works to 1800 -- Facsimiles.</t>
  </si>
  <si>
    <t>Carrying the Word : The Concheros Dance in Mexico City</t>
  </si>
  <si>
    <t>https://ebookcentral.proquest.com/lib/viva-active/detail.action?docID=3039713</t>
  </si>
  <si>
    <t>Rostas, Susanna</t>
  </si>
  <si>
    <t>Folk dancing -- Mexico -- Mexico City. ; Religious dance -- Mexico -- Mexico City.</t>
  </si>
  <si>
    <t>Forjando Patria : Pro-Nacionalismo</t>
  </si>
  <si>
    <t>https://ebookcentral.proquest.com/lib/viva-active/detail.action?docID=3039715</t>
  </si>
  <si>
    <t>Gamio, Manuel;Armstrong-Fumero, Fernando;Gamio, Manuel</t>
  </si>
  <si>
    <t>Nationalism -- Mexico. ; Mexico -- Civilization. ; Mexico -- Politics and government -- 1910-1946.</t>
  </si>
  <si>
    <t>Indians and Mestizos in the "Lettered City" : Reshaping Justice, Social Hierarchy, and Political Culture in Colonial Peru</t>
  </si>
  <si>
    <t>https://ebookcentral.proquest.com/lib/viva-active/detail.action?docID=3039726</t>
  </si>
  <si>
    <t>Duenas, Alcira;Dueñas, Alcira</t>
  </si>
  <si>
    <t>Political culture - Peru - History</t>
  </si>
  <si>
    <t>Negotiation within Domination : New Spain's Indian Pueblos Confront the Spanish State</t>
  </si>
  <si>
    <t>https://ebookcentral.proquest.com/lib/viva-active/detail.action?docID=3039728</t>
  </si>
  <si>
    <t>Ruiz Medrano, Ethelia;Kellogg, Susan;Davidson, Russ</t>
  </si>
  <si>
    <t>Indians, Treatment of - Mexico - History</t>
  </si>
  <si>
    <t>Mexico's Indigenous Communities : Their Lands and Histories, 1500-2010</t>
  </si>
  <si>
    <t>https://ebookcentral.proquest.com/lib/viva-active/detail.action?docID=3039735</t>
  </si>
  <si>
    <t>Ruiz Medrano, Ethelia;Davidson, Russ</t>
  </si>
  <si>
    <t>History; Economics</t>
  </si>
  <si>
    <t>Ethnohistory - Mexico</t>
  </si>
  <si>
    <t>Neoliberalism and Commodity Production in Mexico</t>
  </si>
  <si>
    <t>https://ebookcentral.proquest.com/lib/viva-active/detail.action?docID=3039771</t>
  </si>
  <si>
    <t xml:space="preserve">Weaver, Thomas;Greenberg, James B.;Alexander, William L.;Browning-Aiken, Anne </t>
  </si>
  <si>
    <t>Working class - Social conditions - History</t>
  </si>
  <si>
    <t>Came Men on Horses : The Conquistador Expeditions of Francisco Vásquez de Coronado and Don Juan de Oñate</t>
  </si>
  <si>
    <t>https://ebookcentral.proquest.com/lib/viva-active/detail.action?docID=3039784</t>
  </si>
  <si>
    <t>Hoig, Stan</t>
  </si>
  <si>
    <t>Oanate, Juan de</t>
  </si>
  <si>
    <t>Archaeometallurgy in Mesoamerica : Current Approaches and New Perspectives</t>
  </si>
  <si>
    <t>https://ebookcentral.proquest.com/lib/viva-active/detail.action?docID=3039785</t>
  </si>
  <si>
    <t>Shugar, Aaron N.;Simmons, Scott E.</t>
  </si>
  <si>
    <t>Excavations (Archaeology) - America, Central</t>
  </si>
  <si>
    <t>The Great Maya Droughts in Cultural Context : Case Studies in Resilience and Vulnerability</t>
  </si>
  <si>
    <t>https://ebookcentral.proquest.com/lib/viva-active/detail.action?docID=3039832</t>
  </si>
  <si>
    <t>Iannone, Gyles</t>
  </si>
  <si>
    <t>Mayas -- History. ; Mayas -- Social conditions. ; Mayas -- Antiquities. ; Droughts -- Central America -- History. ; Indigenous people -- Ecology -- Central America. ; Human beings -- Effect of climate on -- Central America. ; Crops -- Effect of drougt on -- Central America.</t>
  </si>
  <si>
    <t>Obsidian Reflections : Symbolic Dimensions of Obsidian in Mesoamerica</t>
  </si>
  <si>
    <t>https://ebookcentral.proquest.com/lib/viva-active/detail.action?docID=3039841</t>
  </si>
  <si>
    <t>Carballo, David M.;Levine, Marc</t>
  </si>
  <si>
    <t>Obsidian implements -- Mexico. ; Obsidian implements -- Central America. ; Indians of Mexico -- Antiquities. ; Indians of Central America -- Antiquities. ; Indians of Mexico -- Implements. ; Indians of Central America -- Implements.</t>
  </si>
  <si>
    <t>Letters from the Headwaters</t>
  </si>
  <si>
    <t>https://ebookcentral.proquest.com/lib/viva-active/detail.action?docID=3039842</t>
  </si>
  <si>
    <t>Abeyta, Aaron</t>
  </si>
  <si>
    <t>Poetry -- History and criticism. ; Authors, American.</t>
  </si>
  <si>
    <t>Bridging the Gaps : Integrating Archaeology and History in Oaxaca, Mexico; A Volume in Memory of Bruce E. Byland</t>
  </si>
  <si>
    <t>https://ebookcentral.proquest.com/lib/viva-active/detail.action?docID=3039864</t>
  </si>
  <si>
    <t>Zborover, Danny;Kroefges, Peter</t>
  </si>
  <si>
    <t>Byland, Bruce E., -- 1950-2008. ; Archaeology and history -- Mexico -- Oaxaca (State) ; Oaxaca (Mexico : State) -- Antiquities.</t>
  </si>
  <si>
    <t>Critical Interventions in Caribbean Politics and Theory</t>
  </si>
  <si>
    <t>https://ebookcentral.proquest.com/lib/viva-active/detail.action?docID=3039933</t>
  </si>
  <si>
    <t>Meeks, Brian</t>
  </si>
  <si>
    <t>Caribbean Studies Ser.</t>
  </si>
  <si>
    <t>Meeks, Brian. ; University of the West Indies. ; Political science -- West Indies. ; Radicalism -- West Indies. ; Neoliberalism -- West Indies. ; Postcolonialism -- West Indies. ; West Indies -- Politics and government.</t>
  </si>
  <si>
    <t>Botánicas : Sacred Spaces of Healing and Devotion in Urban America</t>
  </si>
  <si>
    <t>https://ebookcentral.proquest.com/lib/viva-active/detail.action?docID=3039952</t>
  </si>
  <si>
    <t>Murphy, Joseph M.</t>
  </si>
  <si>
    <t>Hispanic Americans -- Religion. ; Sacred space -- United States. ; Specialty stores -- United States.</t>
  </si>
  <si>
    <t>Early Child Education : Making Programs Work for Brazil's Most Important Generation</t>
  </si>
  <si>
    <t>https://ebookcentral.proquest.com/lib/viva-active/detail.action?docID=3050853</t>
  </si>
  <si>
    <t>Evans, David;Kosec, Katrina</t>
  </si>
  <si>
    <t>Early childhood education--Brazil.</t>
  </si>
  <si>
    <t>The Economic Development of Latin America since Independence</t>
  </si>
  <si>
    <t>https://ebookcentral.proquest.com/lib/viva-active/detail.action?docID=3054959</t>
  </si>
  <si>
    <t>Bértola, Luis;Ocampo, José Antonio</t>
  </si>
  <si>
    <t>Initiative for Policy Dialogue Ser.</t>
  </si>
  <si>
    <t>Economic development -- Latin America -- History.</t>
  </si>
  <si>
    <t>Supporting Learning and Teaching</t>
  </si>
  <si>
    <t>https://ebookcentral.proquest.com/lib/viva-active/detail.action?docID=3061007</t>
  </si>
  <si>
    <t>Bold, Christine</t>
  </si>
  <si>
    <t>Reflective teaching. ; Action research in education.</t>
  </si>
  <si>
    <t>Protecting Immigrant Rights in Mexico : Understanding the State-Civil Society Nexus</t>
  </si>
  <si>
    <t>https://ebookcentral.proquest.com/lib/viva-active/detail.action?docID=3061332</t>
  </si>
  <si>
    <t>Gonzalez-Murphy, Laura Valeria</t>
  </si>
  <si>
    <t>Routledge Research in Comparative Politics Ser.</t>
  </si>
  <si>
    <t>Emigration and immigration - Government policy - Mexico</t>
  </si>
  <si>
    <t>Tourism and the Globalization of Emotions : The Intimate Economy of Tango</t>
  </si>
  <si>
    <t>https://ebookcentral.proquest.com/lib/viva-active/detail.action?docID=3061379</t>
  </si>
  <si>
    <t>Törnqvist, Maria</t>
  </si>
  <si>
    <t>Routledge Advances in Feminist Studies and Intersectionality Ser.</t>
  </si>
  <si>
    <t>Women travelers - Argentina - Buenos Aires</t>
  </si>
  <si>
    <t>Absolute Equality : An Early Feminist Perspective : Influencias de Las Ideas Modernas</t>
  </si>
  <si>
    <t>https://ebookcentral.proquest.com/lib/viva-active/detail.action?docID=3115118</t>
  </si>
  <si>
    <t>Capetillo, Luisa;Walker, Lara</t>
  </si>
  <si>
    <t>Arte Público Press</t>
  </si>
  <si>
    <t>Recovering the U.S Hispanic Literary Heritage Series</t>
  </si>
  <si>
    <t>Feminism -- Puerto Rico. ; Puerto Rican literature.</t>
  </si>
  <si>
    <t>Chicano Manual on How to Handle Gringos</t>
  </si>
  <si>
    <t>https://ebookcentral.proquest.com/lib/viva-active/detail.action?docID=3115121</t>
  </si>
  <si>
    <t xml:space="preserve">Gutierrez, Jose Angel;Gutieurrez, Joseu Angel </t>
  </si>
  <si>
    <t>Hispanic Civil Rights Series</t>
  </si>
  <si>
    <t>Mexican Americans -- Civil rights -- Handbooks, manuals, etc. ; Civil rights movements -- United States -- Handbooks, manuals, etc. ; Mexican Americans -- Civil rights -- Anecdotes. ; Civil rights movements -- United States -- Anecdotes. ; United States -- Ethnic relations -- Handbooks, manuals, etc. ; United States -- Ethnic relations -- Anecdotes.</t>
  </si>
  <si>
    <t>Colored Men and Hombres Aqui : Hernandez V. Texas and the Emergence of Mexican-American Lawyering</t>
  </si>
  <si>
    <t>https://ebookcentral.proquest.com/lib/viva-active/detail.action?docID=3115122</t>
  </si>
  <si>
    <t xml:space="preserve">Olivas, Michael A.;Tushnet, William Nelson Cromwell Professor of Law Mark </t>
  </si>
  <si>
    <t>Hernández, Pete -- Trials, litigation, etc. ; Trials (Murder) -- Texas -- Jackson County. ; Race discrimination -- Texas -- Jackson County. ; Jury selection -- United States. ; Jackson County (Tex.) -- Trials, litigation, etc.</t>
  </si>
  <si>
    <t>Latinos and the Nation's Future</t>
  </si>
  <si>
    <t>https://ebookcentral.proquest.com/lib/viva-active/detail.action?docID=3115126</t>
  </si>
  <si>
    <t>Cisneros, Henry G.;Rosales, John;Murguía, Janet</t>
  </si>
  <si>
    <t>Hispanic Americans -- Social conditions. ; Hispanic Americans -- Cultural assimilation. ; Hispanic Americans -- Ethnic identity. ; United States -- Ethnic relations.</t>
  </si>
  <si>
    <t>Flight to Freedom : The Story of Central American Refugees in California</t>
  </si>
  <si>
    <t>https://ebookcentral.proquest.com/lib/viva-active/detail.action?docID=3115131</t>
  </si>
  <si>
    <t>Pérez, Rossana;Villarroel, Carolina;Ramos, A.J.</t>
  </si>
  <si>
    <t>Refugees -- Services for -- California. ; Refugees -- California. ; Refugees -- Central America -- Interviews. ; Refugees -- El Salvador -- Interviews.</t>
  </si>
  <si>
    <t>Enriqueta Vasquez and the Chicano Movement : Writings from el Grito del Norte</t>
  </si>
  <si>
    <t>https://ebookcentral.proquest.com/lib/viva-active/detail.action?docID=3115148</t>
  </si>
  <si>
    <t xml:space="preserve">Oropeza, Lorena;Espinoza, Dionne;Vasquez, Enriqueta;Nichols, John ;Nichols, John </t>
  </si>
  <si>
    <t>Longeaux y Vásquez, Enriqueta -- Archives. ; Grito del norte (Espanola, N.M.) ; Chicano movement. ; Mexican Americans -- Politics and government -- 20th century. ; Mexican Americans -- Social conditions -- 20th century. ; Southwest, New -- Race relations. ; United States -- Race relations.</t>
  </si>
  <si>
    <t>Folk Treasures of Mexico : The Nelson A. Rockefeller Collection</t>
  </si>
  <si>
    <t>https://ebookcentral.proquest.com/lib/viva-active/detail.action?docID=3115149</t>
  </si>
  <si>
    <t xml:space="preserve">Oettinger, Marion;Rockefeller, Nelson A.;Roberts, Ann R.;Roberts, Ann Rockefeller </t>
  </si>
  <si>
    <t>Rockefeller, Nelson A. -- (Nelson Aldrich), -- 1908-1979 -- Art collections. ; Folk art -- Private collections -- New York (State) -- New York. ; Folk art -- Mexico.</t>
  </si>
  <si>
    <t>Feminism, Nation and Myth : La Malinche</t>
  </si>
  <si>
    <t>https://ebookcentral.proquest.com/lib/viva-active/detail.action?docID=3115151</t>
  </si>
  <si>
    <t>Romero, Rolando;Harris, Amanda Nolacea</t>
  </si>
  <si>
    <t>Marina, -- ca. 1505-ca. 1530 -- In literature -- Congresses. ; Marina, -- ca. 1505-ca. 1530 -- Influence -- Congresses. ; Ethnicity -- America -- Congresses. ; Feminism -- America -- Congresses. ; Mexican American women -- Intellectual life -- Congresses. ; Mexican American women -- Social conditions -- Congresses. ; Mexican Americans -- Intellectual life -- Congresses.</t>
  </si>
  <si>
    <t>Recovering the Hispanic History of Texas</t>
  </si>
  <si>
    <t>https://ebookcentral.proquest.com/lib/viva-active/detail.action?docID=3115153</t>
  </si>
  <si>
    <t>Perales, Monica;Ramos, Raúl A.</t>
  </si>
  <si>
    <t>Hispanic Americans -- Texas -- Historiography. ; Mexican American women -- Texas -- Historiography. ; Mexican American women -- Texas -- History. ; Mexican Americans -- Texas -- Historiography. ; Mexican Americans -- Texas -- History. ; Texas -- Ethnic relations. ; Texas -- Historiography.</t>
  </si>
  <si>
    <t>Recovering the U.S. Hispanic Linguistic Heritage : Sociohistorical Approaches to Spanish in the United States</t>
  </si>
  <si>
    <t>https://ebookcentral.proquest.com/lib/viva-active/detail.action?docID=3115154</t>
  </si>
  <si>
    <t xml:space="preserve">Balestra, Alejandra;Martínez, Glenn;Moyna, Maria Irene;Moyna, Maria Irene </t>
  </si>
  <si>
    <t>Hispanic Americans -- Languages. ; Spanish language -- Social aspects -- United States. ; Spanish language -- Study and teaching -- United States -- History. ; Spanish language -- United States -- History.</t>
  </si>
  <si>
    <t>Mexicans on Death Row</t>
  </si>
  <si>
    <t>https://ebookcentral.proquest.com/lib/viva-active/detail.action?docID=3115161</t>
  </si>
  <si>
    <t>Ampudia, Ricardo;Rascón,Susan Giersbach</t>
  </si>
  <si>
    <t>Capital punishment -- United States -- Cases. ; Mexicans -- Legal status, laws, etc. -- United States.</t>
  </si>
  <si>
    <t>Recovering the U. S. Hispanic Literary Heritage, Volume 6</t>
  </si>
  <si>
    <t>https://ebookcentral.proquest.com/lib/viva-active/detail.action?docID=3115164</t>
  </si>
  <si>
    <t xml:space="preserve">Castañeda, Antonia I.;Meléndez, A. Gabriel;Melendez, A Gabriel </t>
  </si>
  <si>
    <t>American literature -- Hispanic American authors -- History and criticism. ; Hispanic American literature (Spanish) -- History and criticism. ; Hispanic Americans in literature. ; Hispanic Americans -- Intellectual life.</t>
  </si>
  <si>
    <t>Dictionary of Latino Civil Rights History</t>
  </si>
  <si>
    <t>https://ebookcentral.proquest.com/lib/viva-active/detail.action?docID=3115168</t>
  </si>
  <si>
    <t xml:space="preserve">Rosales, F. Arturo;Rosales, Francisco A </t>
  </si>
  <si>
    <t>Civil rights movements -- United States -- History -- Dictionaries. ; Hispanic Americans -- Civil rights -- History -- Dictionaries. ; United States -- Ethnic relations -- Dictionaries.</t>
  </si>
  <si>
    <t>Nation of Women : An Early Feminist Speaks Out : Mi Opinion : Sobre Las Libertades, Derechos y Deberes de la Mujer</t>
  </si>
  <si>
    <t>https://ebookcentral.proquest.com/lib/viva-active/detail.action?docID=3115170</t>
  </si>
  <si>
    <t>Capetillo, Luisa;West-Durán, Alan;Rodriguez, Féliz V. Matos</t>
  </si>
  <si>
    <t>Capetillo, Luisa, -- 1879-1922. ; Feminism. ; Women -- Social conditions.</t>
  </si>
  <si>
    <t>History of Barrios Unidos : Healing Community Violence</t>
  </si>
  <si>
    <t>https://ebookcentral.proquest.com/lib/viva-active/detail.action?docID=3115178</t>
  </si>
  <si>
    <t xml:space="preserve">de Jesus Acosta, Frank;Rodriguez, Luis;Rodriguez, Luis </t>
  </si>
  <si>
    <t>Communication in community development -- California -- Santa Cruz. ; Community organization -- California -- Santa Cruz. ; Political participation -- California -- Santa Cruz. ; Urban violence -- California -- Santa Cruz -- Prevention. ; Santa Cruz (Calif.) -- Social conditions.</t>
  </si>
  <si>
    <t>Life Crossing Borders : Memoir of a Mexican-American Confederate : Las Memorias de un Mexicoamericano en la ConfederaciÃ³n</t>
  </si>
  <si>
    <t>https://ebookcentral.proquest.com/lib/viva-active/detail.action?docID=3115185</t>
  </si>
  <si>
    <t>Tafolla, Santiago;Tafolla, Carmen;Tafolla, Laura</t>
  </si>
  <si>
    <t>Arte PÃºblico Press</t>
  </si>
  <si>
    <t>Tafolla, Santiago, -- 1837-1911. ; Confederate States of America. -- Army -- Biography. ; Mexican Americans -- Biography. ; Mexican Americans -- Ethnic identity. ; Circuit riders -- United States -- Biography. ; Ranchers -- Southwest, New -- Biography. ; Justices of the peace -- Texas -- Biography.</t>
  </si>
  <si>
    <t>Here Lies Lalo : The Collected Works of Abelardo Delgado</t>
  </si>
  <si>
    <t>https://ebookcentral.proquest.com/lib/viva-active/detail.action?docID=3115193</t>
  </si>
  <si>
    <t xml:space="preserve">Delgado, Abelardo Lalo;Watts, Jarica Linn;Watts, Jarica Linn </t>
  </si>
  <si>
    <t>Mexican Americans -- Poetry.</t>
  </si>
  <si>
    <t>Los Recuerdos de Ana Calderón</t>
  </si>
  <si>
    <t>https://ebookcentral.proquest.com/lib/viva-active/detail.action?docID=3115197</t>
  </si>
  <si>
    <t>Limón, Graciela;Alviar, Nuria Brufau</t>
  </si>
  <si>
    <t>Mexican American women -- Fiction. ; Women -- United States -- Fiction. ; Mexican Americans -- Fiction.</t>
  </si>
  <si>
    <t>Voice of My Own : Essays and Stories</t>
  </si>
  <si>
    <t>https://ebookcentral.proquest.com/lib/viva-active/detail.action?docID=3115202</t>
  </si>
  <si>
    <t>Hinojosa, Rolando;Calderón, Hector</t>
  </si>
  <si>
    <t>Essays. ; Short stories.</t>
  </si>
  <si>
    <t>Arturo Islas : The Uncollected Works</t>
  </si>
  <si>
    <t>https://ebookcentral.proquest.com/lib/viva-active/detail.action?docID=3115211</t>
  </si>
  <si>
    <t>Islas, Arturo;Aldama, Frederick Luis</t>
  </si>
  <si>
    <t>Mexican Americans -- Literary collections. ; Short stories, Mexican.</t>
  </si>
  <si>
    <t>Women Warriors of the Afro-Latina Diaspora</t>
  </si>
  <si>
    <t>https://ebookcentral.proquest.com/lib/viva-active/detail.action?docID=3115218</t>
  </si>
  <si>
    <t>Moreno Vega, Marta;Alba, Marinieves;Modestin, Yvette</t>
  </si>
  <si>
    <t>Latin American literature -- Women authors. ; Latin American literature -- African influences. ; Blacks -- Latin America -- Ethnic identity. ; Women and literature -- Latin America.</t>
  </si>
  <si>
    <t>Rolando Hinojosa's Klail City Death Trip Series : A Retrospective, New Directions</t>
  </si>
  <si>
    <t>https://ebookcentral.proquest.com/lib/viva-active/detail.action?docID=3115222</t>
  </si>
  <si>
    <t>Miller, Stephen;Villalobos, José Pablo</t>
  </si>
  <si>
    <t>Hinojosa, Rolando. -- Klail City death trip series.</t>
  </si>
  <si>
    <t>Looking Out, Looking In : Anthology of Latino Poetry</t>
  </si>
  <si>
    <t>https://ebookcentral.proquest.com/lib/viva-active/detail.action?docID=3115225</t>
  </si>
  <si>
    <t>Luis, William</t>
  </si>
  <si>
    <t>American poetry -- Hispanic American authors. ; American poetry -- 19th century. ; American poetry -- 20th century.</t>
  </si>
  <si>
    <t>Loa a un ángel de piel morena</t>
  </si>
  <si>
    <t>https://ebookcentral.proquest.com/lib/viva-active/detail.action?docID=3115231</t>
  </si>
  <si>
    <t>Corpi, Lucha;Brufau Alvira, Nuria</t>
  </si>
  <si>
    <t>Serie detectivesca 'Gloria Damasco'</t>
  </si>
  <si>
    <t>Damasco, Gloria (Fictitious character) -- Fiction. ; Hispanic American women -- Fiction. ; Civil rights demonstrations -- Fiction. ; California -- Fiction.</t>
  </si>
  <si>
    <t>In Defense of My People : Alonso S. Perales and the Development of Mexican-American Public Intellectuals</t>
  </si>
  <si>
    <t>https://ebookcentral.proquest.com/lib/viva-active/detail.action?docID=3115232</t>
  </si>
  <si>
    <t>Olivas, Michael A.</t>
  </si>
  <si>
    <t>Perales, Alonso S., -- 1898-1960. ; Perales, Alonso S., -- 1898-1960 -- Influence. ; League of United Latin American Citizens -- History. ; Mexican Americans -- Civil rights -- Texas -- History -- 20th century. ; Mexican Americans -- Civil rights -- History -- 20th century. ; Mexican Americans -- Intellectual life -- 20th century. ; Mexican Americans -- Texas -- Biography.</t>
  </si>
  <si>
    <t>Confronting Our Canons : Spanish and Latin American Studies in the 21st Century</t>
  </si>
  <si>
    <t>https://ebookcentral.proquest.com/lib/viva-active/detail.action?docID=3115940</t>
  </si>
  <si>
    <t>Brown, Joan Lipman</t>
  </si>
  <si>
    <t>Canon (Literature) ; Spanish literature -- History and criticism -- Theory, etc. ; Spanish American literature -- History and criticism -- Theory, etc. ; Spanish literature -- Study and teaching. ; Spanish American literature -- Study and teaching.</t>
  </si>
  <si>
    <t>Contemporary Uruguayan Poetry : A Bilingual Anthology</t>
  </si>
  <si>
    <t>https://ebookcentral.proquest.com/lib/viva-active/detail.action?docID=3115962</t>
  </si>
  <si>
    <t>Haladyna, Ronald</t>
  </si>
  <si>
    <t>Uruguayan poetry -- 20th century -- Translations into English. ; Uruguayan poetry -- 21st century -- Translations into English. ; Uruguayan poetry -- 20th century. ; Uruguayan poetry -- 21st century. ; Uruguayan poetry -- 20th century -- Bibliography. ; Uruguayan poetry -- 21st century -- Bibliography.</t>
  </si>
  <si>
    <t>Drifting Toward Love : Black, Brown, Gay, and Coming of Age on the Streets of New York</t>
  </si>
  <si>
    <t>https://ebookcentral.proquest.com/lib/viva-active/detail.action?docID=3118006</t>
  </si>
  <si>
    <t>Wright, Kai</t>
  </si>
  <si>
    <t>Beacon Press</t>
  </si>
  <si>
    <t>African American gays -- New York (State) -- New York Metropolitan Area -- Social conditions. ; Hispanic American gays -- New York (State) -- New York Metropolitan Area -- Social conditions. ; Gay youth -- New York (State) -- New York Metropolitan Area -- Social conditions. ; New York Metropolitan Area -- Social conditions.</t>
  </si>
  <si>
    <t>Family Sentence : The Search for My Cuban-Revolutionary, Prison-Yard, Mythic-Hero, Deadbeat Dad</t>
  </si>
  <si>
    <t>https://ebookcentral.proquest.com/lib/viva-active/detail.action?docID=3118063</t>
  </si>
  <si>
    <t>Cornillot, Jeanine</t>
  </si>
  <si>
    <t>Cornillot, Jeanine, -- 1965- ; Cornillot, Jeanine, -- 1965- -- Family. ; Cuban Americans -- Biography. ; Irish Americans -- Biography. ; Fathers and daughters -- United States. ; Children of prisoners -- United States -- Biography. ; Intercultural communication -- United States.</t>
  </si>
  <si>
    <t>Latino/a Biblical Hermeneutics : Problematics, Objectives, Strategies</t>
  </si>
  <si>
    <t>https://ebookcentral.proquest.com/lib/viva-active/detail.action?docID=3118338</t>
  </si>
  <si>
    <t xml:space="preserve">Segovia, Fernando F.;Lozada Jr., Francisco;Lozada Jr, Francisco ;Segovia, Fernando F ;Segovia, Fernando F </t>
  </si>
  <si>
    <t>Society of Biblical Literature</t>
  </si>
  <si>
    <t>Semeia Studies</t>
  </si>
  <si>
    <t>Bible -- Hermeneutics. ; Bible -- Criticism, interpretation, etc. -- Latin America.</t>
  </si>
  <si>
    <t>The Closed Hand : Images of the Japanese in Modern Peruvian Literature</t>
  </si>
  <si>
    <t>https://ebookcentral.proquest.com/lib/viva-active/detail.action?docID=3119294</t>
  </si>
  <si>
    <t>Tsurumi, Rebecca Riger</t>
  </si>
  <si>
    <t>Purdue University Press</t>
  </si>
  <si>
    <t>Purdue Studies in Romance Literatures</t>
  </si>
  <si>
    <t>Peruvian literature - 21st century - History and criticism</t>
  </si>
  <si>
    <t>Miradas transatlánticas : El periodismo literario de Elena Poniatowska y Rosa Montero</t>
  </si>
  <si>
    <t>https://ebookcentral.proquest.com/lib/viva-active/detail.action?docID=3119456</t>
  </si>
  <si>
    <t>Rueda-Acedo, Alicia Rita</t>
  </si>
  <si>
    <t>Montero, Rosa - Criticism and interpretation</t>
  </si>
  <si>
    <t>Speak English! : The Rise of Latinos in Baseball</t>
  </si>
  <si>
    <t>https://ebookcentral.proquest.com/lib/viva-active/detail.action?docID=3119749</t>
  </si>
  <si>
    <t>Hermoso, Rafael;Rivera, Rita;Seling, Allan (Bud);Minaya, Omar</t>
  </si>
  <si>
    <t>The Kent State University Press</t>
  </si>
  <si>
    <t>Baseball -- United States -- History. ; Hispanic American baseball players -- History. ; Racism in sports -- United States -- History. ; United States -- Race relations.</t>
  </si>
  <si>
    <t>Sites of Disquiet : The Non-Space in Spanish American Short Narratives and Their Cinematic Transformations</t>
  </si>
  <si>
    <t>https://ebookcentral.proquest.com/lib/viva-active/detail.action?docID=3120282</t>
  </si>
  <si>
    <t>Kressner, Ilka</t>
  </si>
  <si>
    <t>Spanish American fiction -- 20th century -- History and criticism. ; Spanish American literature -- Film adaptations. ; Personal space in literature. ; Space and time in literature. ; Sacred space in literature. ; Space (Architecture) in literature.</t>
  </si>
  <si>
    <t>Ilusionismo verbal en Elogio de la madrastra y Los cuadernos de don Rigoberto de Mario Vargas Llosa</t>
  </si>
  <si>
    <t>https://ebookcentral.proquest.com/lib/viva-active/detail.action?docID=3121267</t>
  </si>
  <si>
    <t xml:space="preserve">Martí-Peña, Guadalupe;Mart--Pea, Guadalupe ;Martai-Peana, Guadalupe </t>
  </si>
  <si>
    <t>LITERARY CRITICISM / Caribbean &amp; Latin American</t>
  </si>
  <si>
    <t>The Subject in Question : Early Contemporary Spanish Literature and Modernism</t>
  </si>
  <si>
    <t>https://ebookcentral.proquest.com/lib/viva-active/detail.action?docID=3134748</t>
  </si>
  <si>
    <t>Soufas, C. Christopher</t>
  </si>
  <si>
    <t>Catholic University of America Press</t>
  </si>
  <si>
    <t>Spanish literature -- 20th century -- History and criticism. ; Modernism (Literature) -- Spain.</t>
  </si>
  <si>
    <t>Drug War in Mexico : Confronting a Shared Threat</t>
  </si>
  <si>
    <t>https://ebookcentral.proquest.com/lib/viva-active/detail.action?docID=3137479</t>
  </si>
  <si>
    <t>Shirk, David A.</t>
  </si>
  <si>
    <t>Council on Foreign Relations</t>
  </si>
  <si>
    <t>Drug traffic -- Mexico. ; Drug control -- Mexico. ; Drug control -- International cooperation. ; United States -- Foreign relations -- Mexico. ; Mexico -- Foreign relations -- United States.</t>
  </si>
  <si>
    <t>Creative State : Forty Years of Migration and Development Policy in Morocco and Mexico</t>
  </si>
  <si>
    <t>https://ebookcentral.proquest.com/lib/viva-active/detail.action?docID=3138134</t>
  </si>
  <si>
    <t>Iskander, Natasha</t>
  </si>
  <si>
    <t>Cornell University Press</t>
  </si>
  <si>
    <t>Emigrant remittances -- Morocco. ; Emigrant remittances -- Mexico. ; Morocco -- Emigration and immigration -- Economic aspects. ; Mexico -- Emigration and immigration -- Economic aspects. ; Morocco -- Emigration and immigration -- Government policy. ; Mexico -- Emigration and immigration -- Government policy. ; Morocco -- Economic policy.</t>
  </si>
  <si>
    <t>Solidarity Transformed : Labor Responses to Globalization and Crisis in Latin America</t>
  </si>
  <si>
    <t>https://ebookcentral.proquest.com/lib/viva-active/detail.action?docID=3138167</t>
  </si>
  <si>
    <t>Anner, Mark S.</t>
  </si>
  <si>
    <t>Labor unions -- Latin America. ; Labor movement -- Latin America. ; Clothing workers -- Labor unions -- Latin America. ; Automobile industry workers -- Labor unions -- Latin America. ; Solidarity -- Latin America. ; Globalization -- Latin America.</t>
  </si>
  <si>
    <t>Latinos in American Society : Families and Communities in Transition</t>
  </si>
  <si>
    <t>https://ebookcentral.proquest.com/lib/viva-active/detail.action?docID=3138221</t>
  </si>
  <si>
    <t>Zambrana, Ruth Enid</t>
  </si>
  <si>
    <t>Hispanic Americans -- Social conditions. ; Hispanic American families. ; Hispanic Americans -- Study and teaching (Higher)</t>
  </si>
  <si>
    <t>The Worlds of Langston Hughes : Modernism and Translation in the Americas</t>
  </si>
  <si>
    <t>https://ebookcentral.proquest.com/lib/viva-active/detail.action?docID=3138370</t>
  </si>
  <si>
    <t>Kutzinski, Vera M.</t>
  </si>
  <si>
    <t>Hughes, Langston, -- 1902-1967 -- Translations -- History and criticism. ; Hughes, Langston, -- 1902-1967 -- Appreciation. ; Modernism (Literature) -- America.</t>
  </si>
  <si>
    <t>Conflicting Commitments : The Politics of Enforcing Immigrant Worker Rights in San Jose and Houston</t>
  </si>
  <si>
    <t>https://ebookcentral.proquest.com/lib/viva-active/detail.action?docID=3138385</t>
  </si>
  <si>
    <t>Gleeson, Shannon</t>
  </si>
  <si>
    <t>Foreign workers -- California -- San Jose. ; Foreign workers -- Texas -- Houston. ; Foreign workers -- Legal status, laws, etc. -- California -- San Jose. ; Foreign workers -- Legal status, laws, etc. -- Texas -- Houston. ; Employee rights -- California -- San Jose. ; Employee rights -- Texas -- Houston. ; Illegal aliens -- California -- San Jose.</t>
  </si>
  <si>
    <t>The Chicken Trail : Following Workers, Migrants, and Corporations across the Americas</t>
  </si>
  <si>
    <t>https://ebookcentral.proquest.com/lib/viva-active/detail.action?docID=3138412</t>
  </si>
  <si>
    <t>Schwartzman, Kathleen C.</t>
  </si>
  <si>
    <t>Chicken industry -- United States. ; Chicken industry -- Mexico. ; Foreign workers, Mexican -- United States. ; Unemployment -- United States. ; Unemployment -- Mexico. ; United States -- Emigration and immigration. ; Mexico -- Emigration and immigration.</t>
  </si>
  <si>
    <t>From Development to Dictatorship : Bolivia and the Alliance for Progress in the Kennedy Era</t>
  </si>
  <si>
    <t>https://ebookcentral.proquest.com/lib/viva-active/detail.action?docID=3138601</t>
  </si>
  <si>
    <t>Field, Thomas C.</t>
  </si>
  <si>
    <t>The United States in the World</t>
  </si>
  <si>
    <t>Bolivia -- Politics and government -- 1952-1982. ; Bolivia -- History -- 1952-1982. ; Bolivia -- Social conditions -- 1952-1982. ; United States -- Foreign relations -- Bolivia.</t>
  </si>
  <si>
    <t>The Space That Remains : Reading Latin Poetry in Late Antiquity</t>
  </si>
  <si>
    <t>https://ebookcentral.proquest.com/lib/viva-active/detail.action?docID=3138654</t>
  </si>
  <si>
    <t>Pelttari, Aaron</t>
  </si>
  <si>
    <t>Cornell Studies in Classical Philology</t>
  </si>
  <si>
    <t>Latin poetry -- History and criticism. ; Latin poetry -- Appreciation. ; Authors and readers -- Rome. ; Reader-response criticism.</t>
  </si>
  <si>
    <t>They Never Come Back : A Story of Undocumented Workers from Mexico</t>
  </si>
  <si>
    <t>https://ebookcentral.proquest.com/lib/viva-active/detail.action?docID=3138664</t>
  </si>
  <si>
    <t>Schryer, Frans J.</t>
  </si>
  <si>
    <t>Foreign workers, Mexican -- United States -- Social conditions. ; Foreign workers, Mexican -- United States -- Economic conditions. ; Illegal aliens -- United States -- Social conditions. ; Illegal aliens -- United States -- Economic conditions.</t>
  </si>
  <si>
    <t>Asylum Speakers : Caribbean Refugees and Testimonial Discourse</t>
  </si>
  <si>
    <t>https://ebookcentral.proquest.com/lib/viva-active/detail.action?docID=3239540</t>
  </si>
  <si>
    <t>Shemak, April</t>
  </si>
  <si>
    <t>American Literatures Initiative</t>
  </si>
  <si>
    <t>Refugees - Caribbean Area - Social conditions</t>
  </si>
  <si>
    <t>Ghost-Watching American Modernity : Haunting, Landscape, and the Hemispheric Imagination</t>
  </si>
  <si>
    <t>https://ebookcentral.proquest.com/lib/viva-active/detail.action?docID=3239601</t>
  </si>
  <si>
    <t>Blanco, María del Pilar;Blanco, María del Pilar</t>
  </si>
  <si>
    <t>Comparative literature - Latin American and American</t>
  </si>
  <si>
    <t>Pragmatism in the Americas</t>
  </si>
  <si>
    <t>https://ebookcentral.proquest.com/lib/viva-active/detail.action?docID=3239607</t>
  </si>
  <si>
    <t>Pappas, Gregory Fernando</t>
  </si>
  <si>
    <t>Fordham University Press</t>
  </si>
  <si>
    <t>American Philosophy</t>
  </si>
  <si>
    <t>Decolonizing Epistemologies : Latina/o Theology and Philosophy</t>
  </si>
  <si>
    <t>https://ebookcentral.proquest.com/lib/viva-active/detail.action?docID=3239612</t>
  </si>
  <si>
    <t>Isasi-Daz, Ada Mara;Mendieta, Eduardo</t>
  </si>
  <si>
    <t>Transdisciplinary Theological Colloquia</t>
  </si>
  <si>
    <t>Social epistemology - United States</t>
  </si>
  <si>
    <t>Encarnacion : Illness and Body Politics in Chicana Feminist Literature</t>
  </si>
  <si>
    <t>https://ebookcentral.proquest.com/lib/viva-active/detail.action?docID=3239732</t>
  </si>
  <si>
    <t>Bost, Suzanne</t>
  </si>
  <si>
    <t>Human body in literature</t>
  </si>
  <si>
    <t>Thresholds of Illiteracy : Theory, Latin America, and the Crisis of Resistance</t>
  </si>
  <si>
    <t>https://ebookcentral.proquest.com/lib/viva-active/detail.action?docID=3239892</t>
  </si>
  <si>
    <t>Acosta, Abraham</t>
  </si>
  <si>
    <t>Just Ideas Ser.</t>
  </si>
  <si>
    <t>Politics and literature - Latin America - History - 20th century</t>
  </si>
  <si>
    <t>Creativity and Science in Contemporary Argentine Literature : Between Romanticism and Formalism</t>
  </si>
  <si>
    <t>https://ebookcentral.proquest.com/lib/viva-active/detail.action?docID=3291485</t>
  </si>
  <si>
    <t>Page, Joanna</t>
  </si>
  <si>
    <t>University of Calgary Press</t>
  </si>
  <si>
    <t>Latin American and Caribbean Studies</t>
  </si>
  <si>
    <t>Martínez, Guillermo, -- 1962- -- Criticism and interpretation. ; Piglia, Ricardo -- Criticism and interpretation. ; Cohen, Marcelo -- Criticism and interpretation. ; Argentine literature -- 20th century -- Themes, motives -- History and criticism. ; Science in literature. ; Technology in literature. ; Mathematics in literature.</t>
  </si>
  <si>
    <t>Industry and Revolution : Social and Economic Change in the Orizaba Valley, Mexico</t>
  </si>
  <si>
    <t>https://ebookcentral.proquest.com/lib/viva-active/detail.action?docID=3301316</t>
  </si>
  <si>
    <t>Gómez-Galvarriato, Aurora;Gómez-Galvarriato, Aurora</t>
  </si>
  <si>
    <t>Harvard University Press</t>
  </si>
  <si>
    <t>Harvard Historical Studies</t>
  </si>
  <si>
    <t>Textile workers -- Mexico -- Orizaba (Veracruz-Llave) -- History -- 19th century. ; Textile workers -- Mexico -- Orizaba (Veracruz-Llave) -- History -- 20th century. ; Textile industry -- Mexico -- Orizaba (Veracruz-Llave) -- History -- 19th century. ; Textile industry -- Mexico -- Orizaba (Veracruz-Llave) -- History -- 20th century. ; Orizaba (Veracruz-Llave, Mexico) -- Economic conditions.</t>
  </si>
  <si>
    <t>Standing on Common Ground : The Making of a Sunbelt Borderland</t>
  </si>
  <si>
    <t>https://ebookcentral.proquest.com/lib/viva-active/detail.action?docID=3301340</t>
  </si>
  <si>
    <t>Cadava, Geraldo L.</t>
  </si>
  <si>
    <t>Borderlands -- Arizona. ; Borderlands -- Mexico -- Sonora (State) ; Arizona -- Relations -- Mexico -- Sonora (State) ; Sonora (Mexico : State) -- Relations -- Arizona. ; Mexican-American Border Region.</t>
  </si>
  <si>
    <t>William Wordsworth : Concerning the Convention of Cintra</t>
  </si>
  <si>
    <t>https://ebookcentral.proquest.com/lib/viva-active/detail.action?docID=3306054</t>
  </si>
  <si>
    <t>Wordsworth, William;Owen, W.J.B.;Smyser, J.W.</t>
  </si>
  <si>
    <t>Humanities-Ebooks, LLP</t>
  </si>
  <si>
    <t>Wordsworth, William, -- 1770-1850 -- Political and social views. ; Convention of Cintra -- (1808) ; Peninsular War, 1807-1814 -- Diplomatic history. ; Portugal -- History -- Maria I, 1777-1816.</t>
  </si>
  <si>
    <t>Latinos/as and Mathematics Education : Research on Learning and Teaching in Classrooms and Communities</t>
  </si>
  <si>
    <t>https://ebookcentral.proquest.com/lib/viva-active/detail.action?docID=3315657</t>
  </si>
  <si>
    <t>Téllez, Kip;Moschkovich, Judit N.;Civil, Marta</t>
  </si>
  <si>
    <t>Information Age Publishing, Incorporated</t>
  </si>
  <si>
    <t>Research in Educational Diversity and Excellence</t>
  </si>
  <si>
    <t>Hispanic Americans - Education - United States</t>
  </si>
  <si>
    <t>The Demography of the Hispanic Population : Selected Essays</t>
  </si>
  <si>
    <t>https://ebookcentral.proquest.com/lib/viva-active/detail.action?docID=3315780</t>
  </si>
  <si>
    <t>Verdugo, Richard R.</t>
  </si>
  <si>
    <t>The Hispanic Population in the United States</t>
  </si>
  <si>
    <t>Hispanic Americans - Ethnic</t>
  </si>
  <si>
    <t>Ecotourism and Sustainable Development, Second Edition : Who Owns Paradise?</t>
  </si>
  <si>
    <t>https://ebookcentral.proquest.com/lib/viva-active/detail.action?docID=3317530</t>
  </si>
  <si>
    <t>Honey, Martha;Honey, Martha</t>
  </si>
  <si>
    <t>Island Press</t>
  </si>
  <si>
    <t>Business/Management; Geography/Travel; Economics</t>
  </si>
  <si>
    <t>Ecotourism - Africa</t>
  </si>
  <si>
    <t>Seeds of Sustainability : Lessons from the Birthplace of the Green Revolution in Agriculture</t>
  </si>
  <si>
    <t>https://ebookcentral.proquest.com/lib/viva-active/detail.action?docID=3317630</t>
  </si>
  <si>
    <t>Matson, Pamela A.;Falcon, Walter;Dean, Ashley;Naylor, Rosamond;Ortiz-Monasterio, Ivan;Lobell, David;Harrison, John;Ahrens, Toby;Beman, Mike;Addams, Lee</t>
  </si>
  <si>
    <t>Green Revolution - Mexico - Yaqui River Valley</t>
  </si>
  <si>
    <t>Latinos and the New Immigrant Church</t>
  </si>
  <si>
    <t>https://ebookcentral.proquest.com/lib/viva-active/detail.action?docID=3318288</t>
  </si>
  <si>
    <t>Badillo, David A.</t>
  </si>
  <si>
    <t>Johns Hopkins University Press</t>
  </si>
  <si>
    <t>Hispanic Americans - Religion</t>
  </si>
  <si>
    <t>Latin America and Global Capitalism : A Critical Globalization Perspective</t>
  </si>
  <si>
    <t>https://ebookcentral.proquest.com/lib/viva-active/detail.action?docID=3318481</t>
  </si>
  <si>
    <t>Robinson, William I.</t>
  </si>
  <si>
    <t>Johns Hopkins Studies in Globalization Ser.</t>
  </si>
  <si>
    <t>Globalization - Economic aspects - Latin America</t>
  </si>
  <si>
    <t>Rivalry and Alliance Politics in Cold War Latin America</t>
  </si>
  <si>
    <t>https://ebookcentral.proquest.com/lib/viva-active/detail.action?docID=3318824</t>
  </si>
  <si>
    <t>Darnton, Christopher</t>
  </si>
  <si>
    <t>Cold War - Political aspects - Latin America</t>
  </si>
  <si>
    <t>Proust's Latin Americans</t>
  </si>
  <si>
    <t>https://ebookcentral.proquest.com/lib/viva-active/detail.action?docID=3318830</t>
  </si>
  <si>
    <t>Gallo, Rubén;Gallo, Rubén</t>
  </si>
  <si>
    <t>Hopkins Studies in Modernism Ser.</t>
  </si>
  <si>
    <t>Latin Americans - France - Paris - History - 20th century</t>
  </si>
  <si>
    <t>Crisis in an Atlantic Empire : Spain and New Spain, 1808-1810</t>
  </si>
  <si>
    <t>https://ebookcentral.proquest.com/lib/viva-active/detail.action?docID=3318862</t>
  </si>
  <si>
    <t>Stein, Barbara H.;Stein, Stanley J.</t>
  </si>
  <si>
    <t>The Johns Hopkins University Studies in Historical and Political Science Ser.</t>
  </si>
  <si>
    <t>History; Business/Management</t>
  </si>
  <si>
    <t>Mexico - Relations - Spain - 19th century</t>
  </si>
  <si>
    <t>Mexico's Evolving Democracy : A Comparative Study of the 2012 Elections</t>
  </si>
  <si>
    <t>https://ebookcentral.proquest.com/lib/viva-active/detail.action?docID=3318866</t>
  </si>
  <si>
    <t xml:space="preserve">Domínguez, Jorge I.;Greene, Kenneth F.;Lawson, Chappell H.;Moreno, Alejandro </t>
  </si>
  <si>
    <t>Partido Revolucionario Institucional. ; Elections -- Mexico. ; Democracy -- Mexico. ; Mexico -- Politics and government.</t>
  </si>
  <si>
    <t>Liberty in Mexico : Writings on Liberalism from the Early Republican Period to the Second Half of the Twentieth Century</t>
  </si>
  <si>
    <t>https://ebookcentral.proquest.com/lib/viva-active/detail.action?docID=3327349</t>
  </si>
  <si>
    <t>Rivera, José Antonio Aguilar</t>
  </si>
  <si>
    <t>Liberty Fund, Incorporated</t>
  </si>
  <si>
    <t>Liberalism - Mexico - History - 20th century</t>
  </si>
  <si>
    <t>Liberal Thought in Argentina, 1837-1940</t>
  </si>
  <si>
    <t>https://ebookcentral.proquest.com/lib/viva-active/detail.action?docID=3327370</t>
  </si>
  <si>
    <t>Botana, Natalio R.;Gallo, Ezequiel</t>
  </si>
  <si>
    <t>Republicanism - Argentina - History</t>
  </si>
  <si>
    <t>Rebel Literacy : Cuba's National Literacy Campaign and Critical Global Citizenship</t>
  </si>
  <si>
    <t>https://ebookcentral.proquest.com/lib/viva-active/detail.action?docID=3328220</t>
  </si>
  <si>
    <t>Abendroth, Mark;McLaren, Peter , Ph.D.</t>
  </si>
  <si>
    <t>Litwin Books</t>
  </si>
  <si>
    <t>Literacy -- Social aspects -- Cuba. ; Literacy programs -- Cuba. ; World citizenship.</t>
  </si>
  <si>
    <t>China Engages in Latin America : Tracing the Trajectory</t>
  </si>
  <si>
    <t>https://ebookcentral.proquest.com/lib/viva-active/detail.action?docID=3329098</t>
  </si>
  <si>
    <t>Hearn, Adrian H.;León-Manríquez, José Luis</t>
  </si>
  <si>
    <t>Lynne Rienner Publishers</t>
  </si>
  <si>
    <t>Political Science; Economics; Business/Management</t>
  </si>
  <si>
    <t>China -- Foreign relations -- Latin America. ; Latin America -- Foreign relations -- China. ; China -- Foreign economic relations -- Latin America. ; Latin America -- Foreign economic relations -- China. ; Latin America -- Strategic aspects. ; China -- Strategic aspects.</t>
  </si>
  <si>
    <t>Trojan-Horse Aid : Seeds of Resistance and Resilience in the Bolivian Highlands and Beyond</t>
  </si>
  <si>
    <t>https://ebookcentral.proquest.com/lib/viva-active/detail.action?docID=3332830</t>
  </si>
  <si>
    <t>Walsh, Susan</t>
  </si>
  <si>
    <t>MQUP</t>
  </si>
  <si>
    <t>Agricultural assistance -- Bolivia -- Potosí (Department) ; Agriculture -- Bolivia -- Potosí (Department) ; Quechua Indians -- Agriculture -- Bolivia -- Potosí (Department) ; Peasants -- Bolivia -- Potosí (Department)</t>
  </si>
  <si>
    <t>Latinos in the Midwest</t>
  </si>
  <si>
    <t>https://ebookcentral.proquest.com/lib/viva-active/detail.action?docID=3338196</t>
  </si>
  <si>
    <t>Martinez, Rubén O.;Martinez, Rubén O.</t>
  </si>
  <si>
    <t>Michigan State University Press</t>
  </si>
  <si>
    <t>Latinos in the United States Ser.</t>
  </si>
  <si>
    <t>Hispanic Americans -- Middle West.</t>
  </si>
  <si>
    <t>Hidden in the Heartland : The New Wave of Immigrants and the Challenge to America</t>
  </si>
  <si>
    <t>https://ebookcentral.proquest.com/lib/viva-active/detail.action?docID=3338207</t>
  </si>
  <si>
    <t>Diggs, Nancy Brown</t>
  </si>
  <si>
    <t>Migrant labor -- United States -- History -- 21st century. ; Human rights -- United States -- History -- 21st century.</t>
  </si>
  <si>
    <t>Nosotros : A Study of Everyday Meanings in Hispano New Mexico</t>
  </si>
  <si>
    <t>https://ebookcentral.proquest.com/lib/viva-active/detail.action?docID=3338252</t>
  </si>
  <si>
    <t>Korte, Alvin O.</t>
  </si>
  <si>
    <t>Hispanic Americans -- New Mexico -- Social life and customs.</t>
  </si>
  <si>
    <t>The Chican@ Hip Hop Nation : Politics of a New Millennial Mestizaje</t>
  </si>
  <si>
    <t>https://ebookcentral.proquest.com/lib/viva-active/detail.action?docID=3338329</t>
  </si>
  <si>
    <t>McFarland, Pancho</t>
  </si>
  <si>
    <t>Mexican Americans -- Ethnic identity. ; Hip-hop -- Influence. ; Mexican Americans -- Social conditions. ; Hip-hop -- Social aspects -- United States. ; Rap (Music) -- Social aspects -- United States. ; Mexican American youth -- Social life and customs.</t>
  </si>
  <si>
    <t>From Plantation to Paradise? : Cultural Politics and Musical Theatre in French Slave Colonies, 1764-1789</t>
  </si>
  <si>
    <t>https://ebookcentral.proquest.com/lib/viva-active/detail.action?docID=3338354</t>
  </si>
  <si>
    <t>Powers, David M.</t>
  </si>
  <si>
    <t>Theater and society -- France -- History -- 18th century. ; Theater and society -- West Indies, French -- History -- 18th century. ; Musical theater -- West Indies, French -- History -- 18th century. ; West Indies, French -- Social life and customs -- 18th century.</t>
  </si>
  <si>
    <t>Transforming Citizenship : Democracy, Membership, and Belonging in Latino Communities</t>
  </si>
  <si>
    <t>https://ebookcentral.proquest.com/lib/viva-active/detail.action?docID=3338359</t>
  </si>
  <si>
    <t>Rocco, Raymond A.</t>
  </si>
  <si>
    <t>Hispanic Americans -- Ethnic identity. ; Citizenship -- United States. ; Political participation -- United States. ; Hispanic Americans -- Politics and government.</t>
  </si>
  <si>
    <t>Latinos and the 2012 Election : The New Face of the American Voter</t>
  </si>
  <si>
    <t>https://ebookcentral.proquest.com/lib/viva-active/detail.action?docID=3338407</t>
  </si>
  <si>
    <t>Sanchez, Gabriel R.</t>
  </si>
  <si>
    <t>Hispanic Americans -- Politics and government. ; Political participation -- Social aspects -- United States.</t>
  </si>
  <si>
    <t>The Enclave Economy : Foreign Investment and Sustainable Development in Mexico's Silicon Valley</t>
  </si>
  <si>
    <t>https://ebookcentral.proquest.com/lib/viva-active/detail.action?docID=3338728</t>
  </si>
  <si>
    <t>Gallagher, Kevin P.;Zarsky, Lyuba;Gottlieb, Robert</t>
  </si>
  <si>
    <t>MIT Press</t>
  </si>
  <si>
    <t>Urban and Industrial Environments Ser.</t>
  </si>
  <si>
    <t>Law; Business/Management</t>
  </si>
  <si>
    <t>High technology industries -- Mexico -- Guadalajara. ; Information technology -- Mexico -- Guadalajara. ; Investments, Foreign -- Mexico -- Guadalajara. ; Sustainable development -- Mexico -- Guadalajara. ; Guadalajara (Mexico) -- Economic conditions.</t>
  </si>
  <si>
    <t>Bond Markets in Latin America : On the Verge of a Big Bang?</t>
  </si>
  <si>
    <t>https://ebookcentral.proquest.com/lib/viva-active/detail.action?docID=3338897</t>
  </si>
  <si>
    <t>Aguilar, Camila;Bolton, Patrick;Braun, Matías;Briones, Ignacio;Brun, Julio de;Carvalhal-da-Silva, Andre L.;Castellanos, Sara G.;Cárdenas, Mauricio;Fernández, Roque B.;Freixas, Xavier</t>
  </si>
  <si>
    <t>The MIT Press Ser.</t>
  </si>
  <si>
    <t>Bond market -- Latin America -- Congresses.</t>
  </si>
  <si>
    <t>Stuck in the Shallow End : Education, Race, and Computing</t>
  </si>
  <si>
    <t>https://ebookcentral.proquest.com/lib/viva-active/detail.action?docID=3338925</t>
  </si>
  <si>
    <t>Margolis, Jane;Estrella, Rachel;Goode, Joanna;Holme, Jennifer Jellison;Nao, Kim</t>
  </si>
  <si>
    <t>Computer Science/IT</t>
  </si>
  <si>
    <t>Children of minorities -- Education (Secondary) -- United States. ; Computer science -- Study and teaching (Secondary) -- United States. ; Digital divide -- United States.</t>
  </si>
  <si>
    <t>Freud's Mexico : Into the Wilds of Psychoanalysis</t>
  </si>
  <si>
    <t>https://ebookcentral.proquest.com/lib/viva-active/detail.action?docID=3339261</t>
  </si>
  <si>
    <t>Freud, Sigmund, -- 1856-1939 -- Knowledge -- Mexico. ; Psychoanalysis -- Mexico.</t>
  </si>
  <si>
    <t>Hélio Oiticica and Neville D'Almeida : Block-Experiments in Cosmococa--Program in Progress</t>
  </si>
  <si>
    <t>https://ebookcentral.proquest.com/lib/viva-active/detail.action?docID=3339602</t>
  </si>
  <si>
    <t>Buchmann, Sabeth;Hinderer Cruz, Max Jorge;Lewis, Mark</t>
  </si>
  <si>
    <t>Afterall Publishing</t>
  </si>
  <si>
    <t>Afterall Books / One Work Ser.</t>
  </si>
  <si>
    <t>Almeida, Neville d'' -- Criticism and interpretation. ; Oiticica, Helio, -- 1937-1980 -- Criticism and interpretation. ; Conceptual art -- Brazil. ; Installations (Art) -- Brazil. ; Multimedia (Art) -- Brazil.</t>
  </si>
  <si>
    <t>Constructing an Avant-Garde : Art in Brazil, 1949-1979</t>
  </si>
  <si>
    <t>https://ebookcentral.proquest.com/lib/viva-active/detail.action?docID=3339709</t>
  </si>
  <si>
    <t>Martins, Sérgio B.</t>
  </si>
  <si>
    <t>Art, Brazilian -- 20th century. ; Arts -- Experimental methods -- History -- 20th century.</t>
  </si>
  <si>
    <t>Multiple Origins, Uncertain Destinies : Hispanics and the American Future</t>
  </si>
  <si>
    <t>https://ebookcentral.proquest.com/lib/viva-active/detail.action?docID=3378062</t>
  </si>
  <si>
    <t>Tienda, Marta;Mitchell, Faith;National Research Council;Division of Behavioral and Social Sciences and Education;Committee on Population;Panel on Hispanics in the United States;Panel on Hispanics in the United States Staff</t>
  </si>
  <si>
    <t>National Academies Press</t>
  </si>
  <si>
    <t>Hispanic Americans -- Social conditions -- Statistics. ; Hispanic Americans -- Economic conditions -- Statistics. ; Hispanic Americans -- Government policy. ; United States -- Ethnic relations -- Statistics. ; United States -- Population -- Statistics.</t>
  </si>
  <si>
    <t>Hispanics and the Future of America</t>
  </si>
  <si>
    <t>https://ebookcentral.proquest.com/lib/viva-active/detail.action?docID=3378069</t>
  </si>
  <si>
    <t xml:space="preserve">Tienda, Marta;Mitchell, Faith;National Research Council;Division of Behavioral and Social Sciences and Education;Committee on Population;Panel on Hispanics in the United States;Mitchell, Faith </t>
  </si>
  <si>
    <t>Hispanic Americans -- Social conditions. ; Hispanic Americans -- Economic conditions. ; Hispanic Americans -- Statistics. ; United States -- Ethnic relations. ; United States -- Population.</t>
  </si>
  <si>
    <t>Options for Estimating Illegal Entries at the U. S. -Mexico Border</t>
  </si>
  <si>
    <t>https://ebookcentral.proquest.com/lib/viva-active/detail.action?docID=3379100</t>
  </si>
  <si>
    <t>Panel on Survey Options for Estimating the Flow of Unauthorized Crossings at the U.S.-Mexico Border;Committee on National Statistics;Division of Behavioral and Social Sciences and Education;National Research Council;Carriquiry, Alicia;Majmundar, Malay</t>
  </si>
  <si>
    <t>Illegal aliens -- United States -- Statistical methods. ; Illegal aliens -- Mexican-American Border Region.</t>
  </si>
  <si>
    <t>Race and Sex in Latin America</t>
  </si>
  <si>
    <t>https://ebookcentral.proquest.com/lib/viva-active/detail.action?docID=3386172</t>
  </si>
  <si>
    <t>Wade, Peter</t>
  </si>
  <si>
    <t>Pluto Press</t>
  </si>
  <si>
    <t>Anthropology, Culture and Society</t>
  </si>
  <si>
    <t>Miscegenation -- Latin America. ; Sex customs -- Latin America. ; Mestizaje. ; Racism -- Latin America. ; Sexism -- Latin America. ; Sex role -- Latin America. ; Latin America -- Race relations.</t>
  </si>
  <si>
    <t>Voices from the Other Side : An Oral History of Terrorism Against Cuba</t>
  </si>
  <si>
    <t>https://ebookcentral.proquest.com/lib/viva-active/detail.action?docID=3386280</t>
  </si>
  <si>
    <t>Bolender, Keith;Chomsky, Noam</t>
  </si>
  <si>
    <t>Victims of terrorism -- Cuba -- History -- 20th century -- Anecdotes. ; Terrorism -- Cuba -- History -- 20th century. ; Cuba -- Politics and government -- 1959-1990. ; Cuba -- Politics and government -- 1990- ; Cuba -- Foreign relations -- United States. ; United States -- Foreign relations -- Cuba.</t>
  </si>
  <si>
    <t>Fair Trade and a Global Commodity : Coffee in Costa Rica</t>
  </si>
  <si>
    <t>https://ebookcentral.proquest.com/lib/viva-active/detail.action?docID=3386384</t>
  </si>
  <si>
    <t>Luetchford, Peter</t>
  </si>
  <si>
    <t>Coffee industry -- Costa Rica.</t>
  </si>
  <si>
    <t>Race and Ethnicity in Latin America</t>
  </si>
  <si>
    <t>https://ebookcentral.proquest.com/lib/viva-active/detail.action?docID=3386414</t>
  </si>
  <si>
    <t>Ethnicity -- Latin America. ; Ethnology -- Latin America -- History. ; Race relations -- History. ; Blacks -- Latin America -- Ethnic identity. ; Blacks -- Latin America -- Relations with Indians. ; Indians -- Ethnic identity. ; Latin America -- Race relations.</t>
  </si>
  <si>
    <t>The Cuban Revolution in the 21st Century</t>
  </si>
  <si>
    <t>https://ebookcentral.proquest.com/lib/viva-active/detail.action?docID=3386482</t>
  </si>
  <si>
    <t>Lambie, George</t>
  </si>
  <si>
    <t>Cuba -- Politics and government -- 1990- ; Cuba -- History -- Revolution, 1959.</t>
  </si>
  <si>
    <t>Zapatistas : The Chiapas Revolt and What It Means For Radical Politics</t>
  </si>
  <si>
    <t>https://ebookcentral.proquest.com/lib/viva-active/detail.action?docID=3386489</t>
  </si>
  <si>
    <t>Mentinis, Mihalis</t>
  </si>
  <si>
    <t>Ejército Zapatista de Liberación Nacional (Mexico) ; Chiapas (Mexico) -- History -- Peasant Uprising, 1994-</t>
  </si>
  <si>
    <t>Bolivia : Refounding the Nation</t>
  </si>
  <si>
    <t>https://ebookcentral.proquest.com/lib/viva-active/detail.action?docID=3386611</t>
  </si>
  <si>
    <t>Artaraz, Kepa</t>
  </si>
  <si>
    <t>Nationalism -- Bolivia. ; Bolivia -- Politics and government.</t>
  </si>
  <si>
    <t>Democracy and Revolution : Latin America and Socialism Today</t>
  </si>
  <si>
    <t>https://ebookcentral.proquest.com/lib/viva-active/detail.action?docID=3386612</t>
  </si>
  <si>
    <t>Raby, D.L</t>
  </si>
  <si>
    <t>Anti-globalization movement. ; Political leadership. ; Popular fronts. ; Power (Social sciences) ; Socialism. ; Cuba -- Politics and government. ; Venezuela -- Politics and government.</t>
  </si>
  <si>
    <t>Contesting Publics : Feminism, Activism, Ethnography</t>
  </si>
  <si>
    <t>https://ebookcentral.proquest.com/lib/viva-active/detail.action?docID=3386701</t>
  </si>
  <si>
    <t>Phillips, Lynne;Cole, Sally</t>
  </si>
  <si>
    <t>Feminism. ; Women political activists. ; Ethnology.</t>
  </si>
  <si>
    <t>Hugo Chavez : Socialist for the 21st Century</t>
  </si>
  <si>
    <t>https://ebookcentral.proquest.com/lib/viva-active/detail.action?docID=3386757</t>
  </si>
  <si>
    <t>Gonzalez, Mike</t>
  </si>
  <si>
    <t>Revolutionary Lives</t>
  </si>
  <si>
    <t>History; Philosophy</t>
  </si>
  <si>
    <t>Popper, Karl Raimund. ; Kuhn, Thomas Samuel. ; Ciencias sociales -- Artículos -- Publicaciones periódicas. ; Social sciences -- Periodicals. ; Articulos -- Publicaciones periodicas ; Libros electronicos.</t>
  </si>
  <si>
    <t>Violence of Development : Resource Depletion, Environmental Crises and Human Rights Abuses in Central America</t>
  </si>
  <si>
    <t>https://ebookcentral.proquest.com/lib/viva-active/detail.action?docID=3386759</t>
  </si>
  <si>
    <t>Mowforth, Martin</t>
  </si>
  <si>
    <t>Central America -- Economic policy. ; Central America -- Economic conditions.</t>
  </si>
  <si>
    <t>Paramilitarism and Neoliberalism : Violent Systems of Capital Accumulation in Colombia and Beyond</t>
  </si>
  <si>
    <t>https://ebookcentral.proquest.com/lib/viva-active/detail.action?docID=3386782</t>
  </si>
  <si>
    <t>Hristov, Jasmin</t>
  </si>
  <si>
    <t>Neoliberalism. ; Paramilitary forces.</t>
  </si>
  <si>
    <t>Religion Without Redemption : Social Contradictions and Awakened Dreams in Latin America</t>
  </si>
  <si>
    <t>https://ebookcentral.proquest.com/lib/viva-active/detail.action?docID=3386801</t>
  </si>
  <si>
    <t>Luis Martínez, Andrade</t>
  </si>
  <si>
    <t>Decolonial Studies, Postcolonial Horizons</t>
  </si>
  <si>
    <t>Religion -- History -- Latin America. ; Latin America -- History.</t>
  </si>
  <si>
    <t>Hyperborder : The Contemporary U.S.-Mexico Border and Its Future</t>
  </si>
  <si>
    <t>https://ebookcentral.proquest.com/lib/viva-active/detail.action?docID=3387319</t>
  </si>
  <si>
    <t>Romero, Fernando</t>
  </si>
  <si>
    <t>Princeton Architectural Press</t>
  </si>
  <si>
    <t>Borderlands -- Mexico. ; Borderlands -- United States. ; Mexican-American Border Region.</t>
  </si>
  <si>
    <t>Farming Cuba : Urban Agriculture from the Ground Up</t>
  </si>
  <si>
    <t>https://ebookcentral.proquest.com/lib/viva-active/detail.action?docID=3387605</t>
  </si>
  <si>
    <t>Clouse, Carey</t>
  </si>
  <si>
    <t>Urban agriculture -- Cuba.;Landscape design -- Cuba.</t>
  </si>
  <si>
    <t>Reframing the Practice of Philosophy : Bodies of Color, Bodies of Knowledge</t>
  </si>
  <si>
    <t>https://ebookcentral.proquest.com/lib/viva-active/detail.action?docID=3407044</t>
  </si>
  <si>
    <t>Yancy, George</t>
  </si>
  <si>
    <t>State University of New York Press</t>
  </si>
  <si>
    <t>SUNY Series, Philosophy and Race Ser.</t>
  </si>
  <si>
    <t>Philosophy and social sciences. ; Minorities -- United States.</t>
  </si>
  <si>
    <t>Kant's Dog : On Borges, Philosophy, and the Time of Translation</t>
  </si>
  <si>
    <t>https://ebookcentral.proquest.com/lib/viva-active/detail.action?docID=3407045</t>
  </si>
  <si>
    <t>Johnson, David E.</t>
  </si>
  <si>
    <t>SUNY Series in Latin American and Iberian Thought and Culture Ser.</t>
  </si>
  <si>
    <t>Borges, Jorge Luis, -- 1899-1986 -- Philosophy. ; Kant, Immanuel, -- 1724-1804 -- Criticism and interpretation. ; Philosophy in literature. ; Translating and interpreting. ; Argentine literature -- 20th century -- History and criticism.</t>
  </si>
  <si>
    <t>Painting Borges : Philosophy Interpreting Art Interpreting Literature</t>
  </si>
  <si>
    <t>https://ebookcentral.proquest.com/lib/viva-active/detail.action?docID=3407047</t>
  </si>
  <si>
    <t>Borges, Jorge Luis, -- 1899-1986 -- Themes, motives. ; Borges, Jorge Luis, -- 1899-1986 -- Illustrations. ; Art and literature. ; Art -- Philosophy.</t>
  </si>
  <si>
    <t>Latinos in Dixie : Class and Assimilation in Richmond, Virginia</t>
  </si>
  <si>
    <t>https://ebookcentral.proquest.com/lib/viva-active/detail.action?docID=3407151</t>
  </si>
  <si>
    <t>Schleef, Debra J.;Cavalcanti, H. B.</t>
  </si>
  <si>
    <t>Community life -- Virginia -- Richmond. ; Hispanic Americans -- Cultural assimilation -- Virginia -- Richmond. ; Hispanic Americans -- Virginia -- Richmond -- Social conditions. ; Social classes -- Virginia -- Richmond. ; Richmond (Va.) -- Ethnic relations. ; Richmond (Va.) -- Social conditions.</t>
  </si>
  <si>
    <t>Cuban Intersections of Literary and Urban Spaces</t>
  </si>
  <si>
    <t>https://ebookcentral.proquest.com/lib/viva-active/detail.action?docID=3407159</t>
  </si>
  <si>
    <t xml:space="preserve">Riobó, Carlos;Riobo, Carlos </t>
  </si>
  <si>
    <t>Cuban literature -- History and criticism. ; Public spaces in literature. ; Cities and towns in literature. ; National characteristics, Cuban, in literature.</t>
  </si>
  <si>
    <t>Unequal Desires : Race and Erotic Capital in the Stripping Industry</t>
  </si>
  <si>
    <t>https://ebookcentral.proquest.com/lib/viva-active/detail.action?docID=3407237</t>
  </si>
  <si>
    <t>Brooks, Siobhan</t>
  </si>
  <si>
    <t>Race discrimination. ; Sex-oriented businesses -- History.</t>
  </si>
  <si>
    <t>Documents in Crisis : Nonfiction Literatures in Twentieth-Century Mexico</t>
  </si>
  <si>
    <t>https://ebookcentral.proquest.com/lib/viva-active/detail.action?docID=3407279</t>
  </si>
  <si>
    <t>Jörgensen, Beth E.;Jörgensen, Beth E.</t>
  </si>
  <si>
    <t>Mexican prose literature -- 20th century -- History and criticism. ; Literature and history. ; Autobiography -- Mexican authors -- History and criticism. ; History in literature. ; Mexico -- History -- 20th century -- Sources. ; Mexico -- History -- 20th century -- Historiography.</t>
  </si>
  <si>
    <t>Mexicans and Hispanos in Colorado Schools and Communities, 1920-1960</t>
  </si>
  <si>
    <t>https://ebookcentral.proquest.com/lib/viva-active/detail.action?docID=3407376</t>
  </si>
  <si>
    <t>Donato, Rubén</t>
  </si>
  <si>
    <t>Mexican Americans -- Education -- Colorado -- History -- 20th century. ; Children of migrant laborers -- Education -- Colorado -- History -- 20th century. ; Mexican Americans -- Employment -- Colorado -- History -- 20th century. ; Mexican Americans -- Colorado -- Social conditions -- 20th century. ; Sugar beet industry -- Colorado -- History -- 20th century.</t>
  </si>
  <si>
    <t>Queer Transitions in Contemporary Spanish Culture : From Franco to la MOVIDA</t>
  </si>
  <si>
    <t>https://ebookcentral.proquest.com/lib/viva-active/detail.action?docID=3407403</t>
  </si>
  <si>
    <t>Perez-Sanchez, Gema</t>
  </si>
  <si>
    <t>Spanish literature -- 20th century -- History and criticism. ; Homosexuality in literature. ; Literature and society -- Spain. ; Fascism and literature -- Spain.</t>
  </si>
  <si>
    <t>Reading Borges after Benjamin : Allegory, Afterlife, and the Writing of History</t>
  </si>
  <si>
    <t>https://ebookcentral.proquest.com/lib/viva-active/detail.action?docID=3407434</t>
  </si>
  <si>
    <t>Jenckes, Kate</t>
  </si>
  <si>
    <t>Benjamin, Walter, -- 1892-1940 -- Criticism and interpretation. ; Borges, Jorge Luis, -- 1899-1986 -- Criticism and interpretation. ; History in literature.</t>
  </si>
  <si>
    <t>Mexico's Ruins : Juan Garcia Ponce and the Writing of Modernity</t>
  </si>
  <si>
    <t>https://ebookcentral.proquest.com/lib/viva-active/detail.action?docID=3407492</t>
  </si>
  <si>
    <t>Rodriguez-Hernandez, Raul</t>
  </si>
  <si>
    <t>García Ponce, Juan -- Criticism and interpretation. ; Literature and society -- Mexico. ; Politics and society -- Mexico.</t>
  </si>
  <si>
    <t>Cuba : Idea of a Nation Displaced</t>
  </si>
  <si>
    <t>https://ebookcentral.proquest.com/lib/viva-active/detail.action?docID=3407513</t>
  </si>
  <si>
    <t>O'Reilly Herrera, Andrea</t>
  </si>
  <si>
    <t>Exiles -- Cuba. ; Cubans -- Foreign countries.</t>
  </si>
  <si>
    <t>Global Fragments : Globalizations, Latinamericanisms, and Critical Theory</t>
  </si>
  <si>
    <t>https://ebookcentral.proquest.com/lib/viva-active/detail.action?docID=3407589</t>
  </si>
  <si>
    <t>Mendieta, Eduardo</t>
  </si>
  <si>
    <t>Globalization. ; Globalization -- Philosophy. ; Globalization -- Social aspects -- Latin America. ; Civilization, Modern -- 21st century. ; Critical theory. ; Latin America -- Foreign relations -- 1980-</t>
  </si>
  <si>
    <t>The Censorship Files : Latin American Writers and Franco's Spain</t>
  </si>
  <si>
    <t>https://ebookcentral.proquest.com/lib/viva-active/detail.action?docID=3407596</t>
  </si>
  <si>
    <t>Herrero-Olaizola, Alejandro</t>
  </si>
  <si>
    <t>General Works/Reference; Literature</t>
  </si>
  <si>
    <t>Spanish American fiction -- 20th century -- Publishing -- Spain. ; Censorship -- Spain -- History -- 20th century.</t>
  </si>
  <si>
    <t>Governance and the Public Good</t>
  </si>
  <si>
    <t>https://ebookcentral.proquest.com/lib/viva-active/detail.action?docID=3407641</t>
  </si>
  <si>
    <t>Tierney, William G.</t>
  </si>
  <si>
    <t>SUNY Series, Frontiers in Education Ser.</t>
  </si>
  <si>
    <t>Education, Higher -- United States -- Administration. ; Education, Higher -- Political aspects -- United States. ; Education, Higher -- Social aspects -- United States.</t>
  </si>
  <si>
    <t>Earnings from Learning : The Rise of for-Profit Universities</t>
  </si>
  <si>
    <t>https://ebookcentral.proquest.com/lib/viva-active/detail.action?docID=3407661</t>
  </si>
  <si>
    <t>Breneman, David W.;Pusser, Brian;Turner, Sarah E.</t>
  </si>
  <si>
    <t>Business/Management; Education; Economics</t>
  </si>
  <si>
    <t>For-profit universities and colleges -- United States. ; Education, Higher -- Economic aspects -- United States.</t>
  </si>
  <si>
    <t>Redreaming America : Toward a Bilingual American Culture</t>
  </si>
  <si>
    <t>https://ebookcentral.proquest.com/lib/viva-active/detail.action?docID=3407709</t>
  </si>
  <si>
    <t>Castillo, Debra A.</t>
  </si>
  <si>
    <t>American literature -- Hispanic American authors -- History and criticism. ; Hispanic American literature (Spanish) -- History and criticism. ; Hispanic Americans -- Intellectual life. ; Hispanic Americans in literature. ; Hispanic Americans -- Languages. ; Bilingualism -- United States.</t>
  </si>
  <si>
    <t>The Role of History in Latin American Philosophy : Contemporary Perspectives</t>
  </si>
  <si>
    <t>https://ebookcentral.proquest.com/lib/viva-active/detail.action?docID=3407763</t>
  </si>
  <si>
    <t>Salles, Arleen;Millán, Elizabeth</t>
  </si>
  <si>
    <t>Philosophy, Latin American -- History. ; History -- Philosophy.</t>
  </si>
  <si>
    <t>Expanding Opportunity in Higher Education : Leveraging Promise</t>
  </si>
  <si>
    <t>https://ebookcentral.proquest.com/lib/viva-active/detail.action?docID=3407776</t>
  </si>
  <si>
    <t>Gándara, Patricia;Orfield, Gary;Horn, Catherine L.</t>
  </si>
  <si>
    <t>Discrimination in higher education -- California. ; Universities and colleges -- California -- Admission. ; African Americans -- Education (Higher) -- California. ; Hispanic Americans -- Education (Higher) -- California.</t>
  </si>
  <si>
    <t>The Racial Crisis in American Higher Education : Continuing Challenges for the Twenty-First Century, Revised Edition</t>
  </si>
  <si>
    <t>https://ebookcentral.proquest.com/lib/viva-active/detail.action?docID=3407896</t>
  </si>
  <si>
    <t>Smith, William A.;Altbach, Philip G.;Lomotey, Kofi</t>
  </si>
  <si>
    <t>Minorities -- Education (Higher) -- United States. ; College integration -- United States. ; Universities and colleges -- United States -- Case studies. ; United States -- Race relations -- Case studies.</t>
  </si>
  <si>
    <t>Increasing Access to College : Extending Possibilities for All Students</t>
  </si>
  <si>
    <t>https://ebookcentral.proquest.com/lib/viva-active/detail.action?docID=3407961</t>
  </si>
  <si>
    <t>Tierney, William G.;Hagedorn, Linda Serra</t>
  </si>
  <si>
    <t>Educational equalization -- United States. ; College preparation programs -- United States. ; College attendance -- United States. ; Education, Higher -- United States.</t>
  </si>
  <si>
    <t>Latino Voices in New England</t>
  </si>
  <si>
    <t>https://ebookcentral.proquest.com/lib/viva-active/detail.action?docID=3407985</t>
  </si>
  <si>
    <t>Carey, David;Atkinson, Robert</t>
  </si>
  <si>
    <t>Excelsior Editions</t>
  </si>
  <si>
    <t>Hispanic Americans -- Maine -- Portland -- Social conditions. ; Hispanic Americans -- Ethnic identity -- Maine -- Portland. ; Hispanic Americans -- Maine -- Portland -- Biography. ; Oral history -- Maine -- Portland. ; Portland (Me.) -- Social conditions. ; Portland (Me.) -- Ethnic relations.</t>
  </si>
  <si>
    <t>Images of Thought : Philosophical Interpretations of Carlos Estevez's Art</t>
  </si>
  <si>
    <t>https://ebookcentral.proquest.com/lib/viva-active/detail.action?docID=3408017</t>
  </si>
  <si>
    <t>Estévez, Carlos, -- 1969- -- Criticism and interpretation. ; Art, Cuban.</t>
  </si>
  <si>
    <t>Who Speaks for Hispanics? : Hispanic Interest Groups in Washington</t>
  </si>
  <si>
    <t>https://ebookcentral.proquest.com/lib/viva-active/detail.action?docID=3408020</t>
  </si>
  <si>
    <t>Martinez, Deirdre</t>
  </si>
  <si>
    <t>League of United Latin American Citizens. ; National Council of La Raza. ; Hispanic Americans -- Politics and government. ; Hispanic Americans -- Population. ; Lobbying -- United States -- Case studies.</t>
  </si>
  <si>
    <t>Cuban-American Literature and Art : Negotiating Identities</t>
  </si>
  <si>
    <t>https://ebookcentral.proquest.com/lib/viva-active/detail.action?docID=3408072</t>
  </si>
  <si>
    <t>Alvarez Borland, Isabel;Bosch, Lynette M. F.</t>
  </si>
  <si>
    <t>American literature -- Cuban American authors -- History and criticism. ; Cuban American art. ; Cuban Americans -- Intellectual life. ; Identity (Psychology) in art. ; Identity (Psychology) in literature.</t>
  </si>
  <si>
    <t>Destination Dictatorship : The Spectacle of Spain's Tourist Boom and the Reinvention of Difference</t>
  </si>
  <si>
    <t>https://ebookcentral.proquest.com/lib/viva-active/detail.action?docID=3408352</t>
  </si>
  <si>
    <t>Crumbaugh, Justin</t>
  </si>
  <si>
    <t>Business/Management; Tourism/Hospitality; Economics</t>
  </si>
  <si>
    <t>Tourism -- Spain. ; Tourism -- Political aspects -- Spain. ; Tourism -- Government policy -- Spain. ; Culture and tourism -- Spain. ; Fascism -- Spain -- History. ; Motion pictures -- Study and teaching. ; Spain -- Social conditions.</t>
  </si>
  <si>
    <t>Humoring Resistance : Laughter and the Excessive Body in Latin American Women's Fiction</t>
  </si>
  <si>
    <t>https://ebookcentral.proquest.com/lib/viva-active/detail.action?docID=3408369</t>
  </si>
  <si>
    <t>Niebylski, Dianna C.</t>
  </si>
  <si>
    <t>Spanish American literature -- Women authors -- History and criticism. ; Spanish American literature -- 20th century -- History and criticism. ; Women and literature -- Latin America -- History -- 20th century. ; Comic, The, in literature. ; Laughter in literature. ; Women in literature. ; Dissenters in literature.</t>
  </si>
  <si>
    <t>Burning down the House : Politics, Governance, and Affirmative Action at the University of California</t>
  </si>
  <si>
    <t>https://ebookcentral.proquest.com/lib/viva-active/detail.action?docID=3408487</t>
  </si>
  <si>
    <t>Pusser, Brian</t>
  </si>
  <si>
    <t>University of California (System) -- Admission. ; Education, Higher -- Political aspects -- California. ; Minorities -- Education (Higher) -- California.</t>
  </si>
  <si>
    <t>Mixed Race Students in College : The Ecology of Race, Identity, and Community on Campus</t>
  </si>
  <si>
    <t>https://ebookcentral.proquest.com/lib/viva-active/detail.action?docID=3408587</t>
  </si>
  <si>
    <t>Renn, Kristen A.</t>
  </si>
  <si>
    <t>College students -- United States -- Attitudes. ; College environment -- United States. ; Racially mixed people -- United States. ; Race awareness -- United States. ; Education, Higher -- Social aspects -- United States. ; Educational surveys -- United States. ; United States -- Race relations.</t>
  </si>
  <si>
    <t>Changing Women, Changing Nation : Female Agency, Nationhood, and Identity in Trans-Salvadoran Narratives</t>
  </si>
  <si>
    <t>https://ebookcentral.proquest.com/lib/viva-active/detail.action?docID=3408629</t>
  </si>
  <si>
    <t>Padilla, Yajaira M.</t>
  </si>
  <si>
    <t>Salvadoran fiction -- History and criticism. ; Revolutionary literature, Salvadoran -- History and criticism. ; Women in literature. ; Identity (Psychology) in literature. ; American fiction -- Hispanic American authors -- History and criticism. ; El Salvador -- In literature.</t>
  </si>
  <si>
    <t>Systems of Violence, Second Edition : The Political Economy of War and Peace in Colombia</t>
  </si>
  <si>
    <t>https://ebookcentral.proquest.com/lib/viva-active/detail.action?docID=3408748</t>
  </si>
  <si>
    <t>Richani, Nazih</t>
  </si>
  <si>
    <t>SUNY Series in Global Politics Ser.</t>
  </si>
  <si>
    <t>Violence -- Colombia. ; Violence -- Economic aspects -- Colombia. ; Colombia -- Economic conditions -- 1970- ; Colombia -- Politics and government -- 1974- ; Colombia -- Social conditions.</t>
  </si>
  <si>
    <t>Yemoja : Gender, Sexuality, and Creativity in the Latina/o and Afro-Atlantic Diasporas</t>
  </si>
  <si>
    <t>https://ebookcentral.proquest.com/lib/viva-active/detail.action?docID=3408785</t>
  </si>
  <si>
    <t>Otero, Solimar;Falola, Toyin</t>
  </si>
  <si>
    <t>African diaspora in art. ; Afro-Caribbean cults. ; Cultural fusion and the arts. ; Goddesses in art. ; Mother goddesses. ; Orishas in art. ; Sex in art.</t>
  </si>
  <si>
    <t>Inhabiting la Patria : Identity, Agency, and Antojo in the Work of Julia Alvarez</t>
  </si>
  <si>
    <t>https://ebookcentral.proquest.com/lib/viva-active/detail.action?docID=3408797</t>
  </si>
  <si>
    <t>Harrison, Rebecca L.;Hipchen, Emily</t>
  </si>
  <si>
    <t>SUNY Series in Multiethnic Literatures Ser.</t>
  </si>
  <si>
    <t>Alvarez, Julia -- Criticism and interpretation. ; Dominican literature -- History and criticism.</t>
  </si>
  <si>
    <t>Painting Modernism</t>
  </si>
  <si>
    <t>https://ebookcentral.proquest.com/lib/viva-active/detail.action?docID=3408818</t>
  </si>
  <si>
    <t>Schulman, Ivan A.</t>
  </si>
  <si>
    <t>Modernism (Literature) -- Latin America. ; Art and literature -- Latin America.</t>
  </si>
  <si>
    <t>Taking Risks : Feminist Activism and Research in the Americas</t>
  </si>
  <si>
    <t>https://ebookcentral.proquest.com/lib/viva-active/detail.action?docID=3408898</t>
  </si>
  <si>
    <t xml:space="preserve">Shayne, Julie;Randall, Margaret </t>
  </si>
  <si>
    <t>SUNY Series, Praxis: Theory in Action Ser.</t>
  </si>
  <si>
    <t>Feminism -- History -- North America. ; Feminism -- History -- South America. ; Social justice -- History -- North America. ; Social justice -- History -- South America.</t>
  </si>
  <si>
    <t>Lens, Laboratory, Landscape : Observing Modern Spain</t>
  </si>
  <si>
    <t>https://ebookcentral.proquest.com/lib/viva-active/detail.action?docID=3408921</t>
  </si>
  <si>
    <t>Schaefer, Claudia</t>
  </si>
  <si>
    <t>Material culture -- Spain -- History -- 19th century. ; Material culture -- Spain -- History -- 20th century. ; Spain -- Intellectual life -- History -- 19th century. ; Spain -- Intellectual life -- History -- 20th century.</t>
  </si>
  <si>
    <t>Desbordes : Translating Racial, Ethnic, Sexual, and Gender Identities across the Americas</t>
  </si>
  <si>
    <t>https://ebookcentral.proquest.com/lib/viva-active/detail.action?docID=3408931</t>
  </si>
  <si>
    <t xml:space="preserve">Viteri, María-Amelia;Vidal-Ortiz, Salvador;Vidal-Ortiz, Professor Salvador </t>
  </si>
  <si>
    <t>SUNY series, Genders in the Global South</t>
  </si>
  <si>
    <t>Gays -- Latin America -- Identity. ; Gays -- United States -- Identity. ; Gay immigrants -- United States. ; Latin Americans -- United States. ; United States -- Emigration and immigration -- Social aspects. ; Latin America -- Emigration and immigration -- Social aspects.</t>
  </si>
  <si>
    <t>The Losing War : Plan Colombia and Beyond</t>
  </si>
  <si>
    <t>https://ebookcentral.proquest.com/lib/viva-active/detail.action?docID=3408935</t>
  </si>
  <si>
    <t>Rosen, Jonathan D.</t>
  </si>
  <si>
    <t>SUNY Series, James N. Rosenau Series in Global Politics Ser.</t>
  </si>
  <si>
    <t>Fuerzas Armadas Revolucionarias de Colombia. ; Drug control -- Colombia. ; Insurgency -- Colombia. ; Counterinsurgency -- Colombia. ; National security -- Colombia.</t>
  </si>
  <si>
    <t>Decolonization Models for America's Last Colony : Puerto Rico</t>
  </si>
  <si>
    <t>https://ebookcentral.proquest.com/lib/viva-active/detail.action?docID=3410094</t>
  </si>
  <si>
    <t>Collado-Schwarz, Angel</t>
  </si>
  <si>
    <t>Syracuse University Press</t>
  </si>
  <si>
    <t>Catalá Oliveras, Francisco A. -- Interviews. ; Lara, Juan, -- Dr. -- Interviews. ; Decolonization -- Puerto Rico. ; Economic development -- Puerto Rico. ; Decolonization -- Case studies. ; Economic policy -- Case studies. ; Economic development -- Case studies.</t>
  </si>
  <si>
    <t>Jesus and the Gang : Youth Violence and Christianity in Urban Honduras</t>
  </si>
  <si>
    <t>https://ebookcentral.proquest.com/lib/viva-active/detail.action?docID=3411718</t>
  </si>
  <si>
    <t>Wolseth, Jon</t>
  </si>
  <si>
    <t>University of Arizona Press</t>
  </si>
  <si>
    <t>Church and social problems - Honduras</t>
  </si>
  <si>
    <t>An Impossible Living in a Transborder World : Culture, Confianza, and Economy of Mexican-Origin Populations</t>
  </si>
  <si>
    <t>https://ebookcentral.proquest.com/lib/viva-active/detail.action?docID=3411719</t>
  </si>
  <si>
    <t>Vélez-Ibáñez, Carlos G.;Vélez-Ibáñez, Carlos G.;Vélez-Ibañez, Carlos G.</t>
  </si>
  <si>
    <t>Mexican Americans - Southwest, New - Economic conditions</t>
  </si>
  <si>
    <t>Maguey Journey : Discovering Textiles in Guatemala</t>
  </si>
  <si>
    <t>https://ebookcentral.proquest.com/lib/viva-active/detail.action?docID=3411725</t>
  </si>
  <si>
    <t>Rousso, Kathryn</t>
  </si>
  <si>
    <t>Business/Management; Economics; History</t>
  </si>
  <si>
    <t>Agaves - Utilization - Guatemala</t>
  </si>
  <si>
    <t>Classic Maya Provincial Politics : Xunantunich and Its Hinterlands</t>
  </si>
  <si>
    <t>https://ebookcentral.proquest.com/lib/viva-active/detail.action?docID=3411727</t>
  </si>
  <si>
    <t>LeCount, Lisa J.;Yaeger, Jason;Yaeger, Jason</t>
  </si>
  <si>
    <t>Excavations (Archaeology) - Belize River Valley (Guatemala and Belize)</t>
  </si>
  <si>
    <t>For Tranquility and Order : Family and Community on Mexico's Northern Frontier, 1800-1850</t>
  </si>
  <si>
    <t>https://ebookcentral.proquest.com/lib/viva-active/detail.action?docID=3411737</t>
  </si>
  <si>
    <t>Shelton, Laura M.</t>
  </si>
  <si>
    <t>Women - Mexico, North - Social conditions</t>
  </si>
  <si>
    <t>Political Ecologies of Cattle Ranching in Northern Mexico : Private Revolutions</t>
  </si>
  <si>
    <t>https://ebookcentral.proquest.com/lib/viva-active/detail.action?docID=3411739</t>
  </si>
  <si>
    <t>Perramond, Eric P.</t>
  </si>
  <si>
    <t>Society, Environment, and Place Ser.</t>
  </si>
  <si>
    <t>Ranches - Management - Mexico - Sonora (State)</t>
  </si>
  <si>
    <t>The Permit That Never Expires : Migrant Tales from the Ozark Hills and the Mexican Highlands</t>
  </si>
  <si>
    <t>https://ebookcentral.proquest.com/lib/viva-active/detail.action?docID=3411744</t>
  </si>
  <si>
    <t>Garrison, Philip</t>
  </si>
  <si>
    <t>Inland Empire (Pacific Northwest) - Emigration and immigration - Social aspects</t>
  </si>
  <si>
    <t>Gender Violence at the U. S. -Mexico Border : Media Representation and Public Response</t>
  </si>
  <si>
    <t>https://ebookcentral.proquest.com/lib/viva-active/detail.action?docID=3411745</t>
  </si>
  <si>
    <t>Domínguez-Ruvalcaba, Héctor;Corona, Ignacio;Domínguez-Ruvalcaba, Héctor</t>
  </si>
  <si>
    <t>Mass media and crime - Mexico</t>
  </si>
  <si>
    <t>The Chinese in Mexico, 1882-1940</t>
  </si>
  <si>
    <t>https://ebookcentral.proquest.com/lib/viva-active/detail.action?docID=3411747</t>
  </si>
  <si>
    <t>Romero, Robert Chao</t>
  </si>
  <si>
    <t>Chinese -- Mexico -- History. ; Race discrimination -- Mexico -- History. ; Immigrants -- Mexico -- History. ; Mexico -- Race relations. ; Mexico -- Emigration and immigration -- Government policy.</t>
  </si>
  <si>
    <t>Lessons from a Quechua Strongwoman : Ideophony, Dialogue, and Perspective</t>
  </si>
  <si>
    <t>https://ebookcentral.proquest.com/lib/viva-active/detail.action?docID=3411749</t>
  </si>
  <si>
    <t>Nuckolls, Janis B.</t>
  </si>
  <si>
    <t>First Peoples: New Directions in Indigenous Studies</t>
  </si>
  <si>
    <t>Puyo (Pastaza, Ecuador) - Social conditions</t>
  </si>
  <si>
    <t>Imprints on Native Lands : The Miskito-Moravian Settlement Landscape in Honduras</t>
  </si>
  <si>
    <t>https://ebookcentral.proquest.com/lib/viva-active/detail.action?docID=3411751</t>
  </si>
  <si>
    <t>Tillman, Benjamin F.;Tillman, Benjamin F</t>
  </si>
  <si>
    <t>Moravians - Missions - Honduras - History</t>
  </si>
  <si>
    <t>Immigration Law and the U. S. -Mexico Border : ¿Sí Se Puede?</t>
  </si>
  <si>
    <t>https://ebookcentral.proquest.com/lib/viva-active/detail.action?docID=3411755</t>
  </si>
  <si>
    <t>Johnson, Kevin R.;Trujillo, Bernard</t>
  </si>
  <si>
    <t>The Mexican American Experience Ser.</t>
  </si>
  <si>
    <t>SOCIAL SCIENCE / Ethnic Studies / Hispanic American Studies</t>
  </si>
  <si>
    <t>Calexico : True Lives of the Borderlands</t>
  </si>
  <si>
    <t>https://ebookcentral.proquest.com/lib/viva-active/detail.action?docID=3411758</t>
  </si>
  <si>
    <t>Laufer, Peter</t>
  </si>
  <si>
    <t>Borderlands - California - Calexico</t>
  </si>
  <si>
    <t>Rascuache Lawyer : Toward a Theory of Ordinary Litigation</t>
  </si>
  <si>
    <t>https://ebookcentral.proquest.com/lib/viva-active/detail.action?docID=3411760</t>
  </si>
  <si>
    <t>Mirandé, Alfredo;Mirandé, Alfredo</t>
  </si>
  <si>
    <t>Legal assistance to the poor - California</t>
  </si>
  <si>
    <t>Global Maya : Work and Ideology in Rural Guatemala</t>
  </si>
  <si>
    <t>https://ebookcentral.proquest.com/lib/viva-active/detail.action?docID=3411763</t>
  </si>
  <si>
    <t>Goldín, Liliana R.;Goldín, Liliana R.</t>
  </si>
  <si>
    <t>Agriculture -- Economic aspects -- Guatemala. ; Mayas -- Guatemala -- Economic conditions. ; Guatemala -- Economic conditions -- 1985- ; Guatemala -- Rural conditions.</t>
  </si>
  <si>
    <t>Death and Dying in Colonial Spanish America</t>
  </si>
  <si>
    <t>https://ebookcentral.proquest.com/lib/viva-active/detail.action?docID=3411765</t>
  </si>
  <si>
    <t>Achim, Miruna;Will de Chaparro, Martina</t>
  </si>
  <si>
    <t>New Spain - Social life and customs</t>
  </si>
  <si>
    <t>A Common Humanity : Ritual, Religion, and Immigrant Advocacy in Tucson, Arizona</t>
  </si>
  <si>
    <t>https://ebookcentral.proquest.com/lib/viva-active/detail.action?docID=3411769</t>
  </si>
  <si>
    <t>Van Ham, Lane</t>
  </si>
  <si>
    <t>Latin Americans - Social life and customs - Arizona</t>
  </si>
  <si>
    <t>A Quiet Victory for Latino Rights : FDR and the Controversy over Whiteness</t>
  </si>
  <si>
    <t>https://ebookcentral.proquest.com/lib/viva-active/detail.action?docID=3411771</t>
  </si>
  <si>
    <t>Lukens, Patrick D.</t>
  </si>
  <si>
    <t>Roosevelt, Franklin D - Relations with Hispanic Americans</t>
  </si>
  <si>
    <t>The Neighborhood As a Social and Spatial Unit in Mesoamerican Cities</t>
  </si>
  <si>
    <t>https://ebookcentral.proquest.com/lib/viva-active/detail.action?docID=3411775</t>
  </si>
  <si>
    <t>Arnauld, M. Charlotte;Manzanilla, Linda R.;Smith, Michael E.</t>
  </si>
  <si>
    <t>Neighborhoods - Central America - History</t>
  </si>
  <si>
    <t>Stealing Shining Rivers : Agrarian Conflict, Market Logic, and Conservation in a Mexican Forest</t>
  </si>
  <si>
    <t>https://ebookcentral.proquest.com/lib/viva-active/detail.action?docID=3411777</t>
  </si>
  <si>
    <t>Doane, Molly</t>
  </si>
  <si>
    <t>Chimalapas Region (Mexico) - Economic conditions</t>
  </si>
  <si>
    <t>A Land Between Waters : Environmental Histories of Modern Mexico</t>
  </si>
  <si>
    <t>https://ebookcentral.proquest.com/lib/viva-active/detail.action?docID=3411779</t>
  </si>
  <si>
    <t>Boyer, Christopher R.</t>
  </si>
  <si>
    <t>Latin American Landscapes Ser.</t>
  </si>
  <si>
    <t>Environmental policy - Mexico - History</t>
  </si>
  <si>
    <t>Gendered Scenarios of Revolution : Making New Men and New Women in Nicaragua, 1975-2000</t>
  </si>
  <si>
    <t>https://ebookcentral.proquest.com/lib/viva-active/detail.action?docID=3411783</t>
  </si>
  <si>
    <t>Montoya, Rosario</t>
  </si>
  <si>
    <t>Sex role - Nicaragua</t>
  </si>
  <si>
    <t>Gender and Sustainability : Lessons from Asia and Latin America</t>
  </si>
  <si>
    <t>https://ebookcentral.proquest.com/lib/viva-active/detail.action?docID=3411785</t>
  </si>
  <si>
    <t>McElwee, Pamela;Cruz-Torres, María Luz</t>
  </si>
  <si>
    <t>Natural resources - Environmental aspects - Asia</t>
  </si>
  <si>
    <t>Reimagining National Belonging : Post-Civil War el Salvador in a Global Context</t>
  </si>
  <si>
    <t>https://ebookcentral.proquest.com/lib/viva-active/detail.action?docID=3411789</t>
  </si>
  <si>
    <t>DeLugan, Robin Maria</t>
  </si>
  <si>
    <t>Collective memory - El Salvador - History</t>
  </si>
  <si>
    <t>Identity, Ritual, and Power in Colonial Puebla</t>
  </si>
  <si>
    <t>https://ebookcentral.proquest.com/lib/viva-active/detail.action?docID=3411792</t>
  </si>
  <si>
    <t>Ramos, Frances L.</t>
  </si>
  <si>
    <t>Legitimacy of governments - Mexico - Puebla de Zaragoza - History - 18th century</t>
  </si>
  <si>
    <t>The Village Is Like a Wheel : Rethinking Cargos, Family, and Ethnicity in Highland Mexico</t>
  </si>
  <si>
    <t>https://ebookcentral.proquest.com/lib/viva-active/detail.action?docID=3411793</t>
  </si>
  <si>
    <t>Magazine, Roger</t>
  </si>
  <si>
    <t>Tepetlaoxtoc (Mexico) - Economic conditions</t>
  </si>
  <si>
    <t>Chicano Studies : The Genesis of a Discipline</t>
  </si>
  <si>
    <t>https://ebookcentral.proquest.com/lib/viva-active/detail.action?docID=3411798</t>
  </si>
  <si>
    <t>Soldatenko, Michael</t>
  </si>
  <si>
    <t>Ethnology - Study and teaching</t>
  </si>
  <si>
    <t>Doing Good : Racial Tensions and Workplace Inequalities at a Community Clinic in el Nuevo South</t>
  </si>
  <si>
    <t>https://ebookcentral.proquest.com/lib/viva-active/detail.action?docID=3411801</t>
  </si>
  <si>
    <t>Deeb-Sossa, Natalia</t>
  </si>
  <si>
    <t>Community health services - North Carolina - Employees</t>
  </si>
  <si>
    <t>Learning the Possible : Mexican American Students Moving from the Margins of Life to New Ways of Being</t>
  </si>
  <si>
    <t>https://ebookcentral.proquest.com/lib/viva-active/detail.action?docID=3411814</t>
  </si>
  <si>
    <t>Reyes, Reynaldo;Faltis, Christian J.</t>
  </si>
  <si>
    <t>Mexican American children -- Education. ; Mexican American youth -- Education. ; Mexican American students -- Social conditions.</t>
  </si>
  <si>
    <t>Red-Inked Retablos</t>
  </si>
  <si>
    <t>https://ebookcentral.proquest.com/lib/viva-active/detail.action?docID=3411816</t>
  </si>
  <si>
    <t>González, Rigoberto;González, Rigoberto</t>
  </si>
  <si>
    <t>Camino Del Sol Ser.</t>
  </si>
  <si>
    <t>American essays - Mexican American authors</t>
  </si>
  <si>
    <t>Indigenous Agency in the Amazon : The Mojos in Liberal and Rubber-Boom Bolivia, 1842-1932</t>
  </si>
  <si>
    <t>https://ebookcentral.proquest.com/lib/viva-active/detail.action?docID=3411819</t>
  </si>
  <si>
    <t>Van Valen, Gary</t>
  </si>
  <si>
    <t>History; Engineering: Manufacturing; Engineering</t>
  </si>
  <si>
    <t>Millennialism - Bolivia - Beni - History</t>
  </si>
  <si>
    <t>Outside the Hacienda Walls : The Archaeology of Plantation Peonage in Nineteenth-Century Yucatán</t>
  </si>
  <si>
    <t>https://ebookcentral.proquest.com/lib/viva-active/detail.action?docID=3411821</t>
  </si>
  <si>
    <t>Meyers, Allan</t>
  </si>
  <si>
    <t>Archaeology of Indigenous-Colonial Interactions in the Americas Ser.</t>
  </si>
  <si>
    <t>Yucatan (Mexico: State) - Social conditions - 19th century</t>
  </si>
  <si>
    <t>Voices of Play : Miskitu Children's Speech and Song on the Atlantic Coast of Nicaragua</t>
  </si>
  <si>
    <t>https://ebookcentral.proquest.com/lib/viva-active/detail.action?docID=3411825</t>
  </si>
  <si>
    <t>Minks, Amanda</t>
  </si>
  <si>
    <t>Corn Island (Nicaragua) - Social life and customs</t>
  </si>
  <si>
    <t>Chicana and Chicano Mental Health : Alma, Mente y Corazón</t>
  </si>
  <si>
    <t>https://ebookcentral.proquest.com/lib/viva-active/detail.action?docID=3411827</t>
  </si>
  <si>
    <t>Flores, Yvette G.</t>
  </si>
  <si>
    <t>Psychology; Medicine</t>
  </si>
  <si>
    <t>Mexican Americans - Mental health - United States</t>
  </si>
  <si>
    <t>The Affinity of the Eye : Writing Nikkei in Peru</t>
  </si>
  <si>
    <t>https://ebookcentral.proquest.com/lib/viva-active/detail.action?docID=3411828</t>
  </si>
  <si>
    <t>López-Calvo, Ignacio;Iwasaki, Fernando;López-Calvo, Ignacio</t>
  </si>
  <si>
    <t>Japanese - Peru - Intellectual life</t>
  </si>
  <si>
    <t>Baja California Missions : In the Footsteps of the Padres</t>
  </si>
  <si>
    <t>https://ebookcentral.proquest.com/lib/viva-active/detail.action?docID=3411831</t>
  </si>
  <si>
    <t>Burckhalter, David;Fontana, Bernard L.;Sedgwick, Mina</t>
  </si>
  <si>
    <t>Southwest Center Ser.</t>
  </si>
  <si>
    <t>Spanish mission buildings - Mexico - Baja California (Peninsula)</t>
  </si>
  <si>
    <t>From Enron to Evo : Pipeline Politics, Global Environmentalism, and Indigenous Rights in Bolivia</t>
  </si>
  <si>
    <t>https://ebookcentral.proquest.com/lib/viva-active/detail.action?docID=3411832</t>
  </si>
  <si>
    <t>Hindery, Derrick;Hecht, Susanna B.</t>
  </si>
  <si>
    <t>Territorio Indaigena Parque Nacional Isiboro-Saecure (Bolivia) - Social conditions</t>
  </si>
  <si>
    <t>Pueblo Indians and Spanish Colonial Authority in Eighteenth-Century New Mexico</t>
  </si>
  <si>
    <t>https://ebookcentral.proquest.com/lib/viva-active/detail.action?docID=3411838</t>
  </si>
  <si>
    <t>Brown, Tracy L.</t>
  </si>
  <si>
    <t>New Mexico - Colonization</t>
  </si>
  <si>
    <t>Telling and Being Told : Storytelling and Cultural Control in Contemporary Yucatec Maya Literatures</t>
  </si>
  <si>
    <t>https://ebookcentral.proquest.com/lib/viva-active/detail.action?docID=3411839</t>
  </si>
  <si>
    <t>Worley, Paul M.</t>
  </si>
  <si>
    <t>Storytelling - Mexico - Yucataan (State)</t>
  </si>
  <si>
    <t>The Ópatas : In Search of a Sonoran People</t>
  </si>
  <si>
    <t>https://ebookcentral.proquest.com/lib/viva-active/detail.action?docID=3411842</t>
  </si>
  <si>
    <t>Yetman, David</t>
  </si>
  <si>
    <t>Opata Indians - Government relations</t>
  </si>
  <si>
    <t>More Than Two to Tango : Argentine Tango Immigrants in New York City</t>
  </si>
  <si>
    <t>https://ebookcentral.proquest.com/lib/viva-active/detail.action?docID=3411843</t>
  </si>
  <si>
    <t>Viladrich, Anahí</t>
  </si>
  <si>
    <t>Sport &amp;amp; Recreation; Social Science</t>
  </si>
  <si>
    <t>Argentine Americans - Social life and customs</t>
  </si>
  <si>
    <t>The New Politics of Protest : Indigenous Mobilization in Latin America's Neoliberal Era</t>
  </si>
  <si>
    <t>https://ebookcentral.proquest.com/lib/viva-active/detail.action?docID=3411845</t>
  </si>
  <si>
    <t>Rice, Roberta</t>
  </si>
  <si>
    <t>Indigenous peoples - Latin America - Politics and government</t>
  </si>
  <si>
    <t>I Don't Cry, but I Remember : A Mexican Immigrant's Story of Endurance</t>
  </si>
  <si>
    <t>https://ebookcentral.proquest.com/lib/viva-active/detail.action?docID=3411849</t>
  </si>
  <si>
    <t>Lackie, Joyce</t>
  </si>
  <si>
    <t>Mexican Americans - Cultural assimilation - Colorado</t>
  </si>
  <si>
    <t>A War That Can't Be Won : Binational Perspectives on the War on Drugs</t>
  </si>
  <si>
    <t>https://ebookcentral.proquest.com/lib/viva-active/detail.action?docID=3411852</t>
  </si>
  <si>
    <t>Payan, Tony;Staudt, Kathleen;Kruszewski, Z. Anthony</t>
  </si>
  <si>
    <t>Drug control - Mexico</t>
  </si>
  <si>
    <t>Object and Apparition : Envisioning the Christian Divine in the Colonial Andes</t>
  </si>
  <si>
    <t>https://ebookcentral.proquest.com/lib/viva-active/detail.action?docID=3411854</t>
  </si>
  <si>
    <t>Stanfield-Mazzi, Maya</t>
  </si>
  <si>
    <t>Christianity and art - Andes Region - Catholic Church</t>
  </si>
  <si>
    <t>Uncharted Terrains : New Directions in Border Research Methodology, Ethics, and Practice</t>
  </si>
  <si>
    <t>https://ebookcentral.proquest.com/lib/viva-active/detail.action?docID=3411855</t>
  </si>
  <si>
    <t>Deeds, Colin M.;Whiteford, Scott;O'Leary, Anna Ochoa</t>
  </si>
  <si>
    <t>United States - Boundaries - Mexico - Research</t>
  </si>
  <si>
    <t>Broken Souths : Latina/o Poetic Responses to Neoliberalism and Globalization</t>
  </si>
  <si>
    <t>https://ebookcentral.proquest.com/lib/viva-active/detail.action?docID=3411862</t>
  </si>
  <si>
    <t>Dowdy, Michael</t>
  </si>
  <si>
    <t>American poetry - Hispanic American authors - History and criticism</t>
  </si>
  <si>
    <t>Foundational Arts : Mural Painting and Missionary Theater in New Spain</t>
  </si>
  <si>
    <t>https://ebookcentral.proquest.com/lib/viva-active/detail.action?docID=3411864</t>
  </si>
  <si>
    <t>Schuessler, Michael K.</t>
  </si>
  <si>
    <t>Arts and religion - Mexico - History - 16th century</t>
  </si>
  <si>
    <t>Ambitious Rebels : Remaking Honor, Law, and Liberalism in Venezuela, 1780-1850</t>
  </si>
  <si>
    <t>https://ebookcentral.proquest.com/lib/viva-active/detail.action?docID=3411865</t>
  </si>
  <si>
    <t>Zahler, Reuben</t>
  </si>
  <si>
    <t>Liberalism - Venezuela</t>
  </si>
  <si>
    <t>Seriously Funny : Mexican Political Jokes As Social Resistance</t>
  </si>
  <si>
    <t>https://ebookcentral.proquest.com/lib/viva-active/detail.action?docID=3411867</t>
  </si>
  <si>
    <t>Schmidt, Samuel;Schmidt, Adam</t>
  </si>
  <si>
    <t>Mexico - Politics and government - Humor</t>
  </si>
  <si>
    <t>Raza Studies : The Public Option for Educational Revolution</t>
  </si>
  <si>
    <t>https://ebookcentral.proquest.com/lib/viva-active/detail.action?docID=3411870</t>
  </si>
  <si>
    <t>Cammarota, Julio;Romero, Augustine;Stovall, David</t>
  </si>
  <si>
    <t>Tucson Unified School District (Pima County, Ariz.)</t>
  </si>
  <si>
    <t>Food Systems in an Unequal World : Pesticides, Vegetables, and Agrarian Capitalism in Costa Rica</t>
  </si>
  <si>
    <t>https://ebookcentral.proquest.com/lib/viva-active/detail.action?docID=3411873</t>
  </si>
  <si>
    <t>Galt, Ryan E.</t>
  </si>
  <si>
    <t>Agriculture; Environmental Studies</t>
  </si>
  <si>
    <t>Agriculture - Economic aspects - Costa Rica</t>
  </si>
  <si>
    <t>Aztlán Arizona : Mexican American Educational Empowerment, 1968-1978</t>
  </si>
  <si>
    <t>https://ebookcentral.proquest.com/lib/viva-active/detail.action?docID=3411874</t>
  </si>
  <si>
    <t>Echeverría, Darius V.;Echeverría, Darius V.</t>
  </si>
  <si>
    <t>Educational change - Arizona - History - 20th century</t>
  </si>
  <si>
    <t>Looking Like the Enemy : Japanese Mexicans, the Mexican State, and US Hegemony, 1897-1945</t>
  </si>
  <si>
    <t>https://ebookcentral.proquest.com/lib/viva-active/detail.action?docID=3411875</t>
  </si>
  <si>
    <t>García, Jerry;García, Jerry</t>
  </si>
  <si>
    <t>World War, 1939-1945 - Social aspects - Mexico</t>
  </si>
  <si>
    <t>Fleshing the Spirit : Spirituality and Activism in Chicana, Latina, and Indigenous Women's Lives</t>
  </si>
  <si>
    <t>https://ebookcentral.proquest.com/lib/viva-active/detail.action?docID=3411878</t>
  </si>
  <si>
    <t>Facio, Elisa;Lara, Irene</t>
  </si>
  <si>
    <t>Indian women - Religious life</t>
  </si>
  <si>
    <t>Alcohol in Latin America : A Social and Cultural History</t>
  </si>
  <si>
    <t>https://ebookcentral.proquest.com/lib/viva-active/detail.action?docID=3411879</t>
  </si>
  <si>
    <t xml:space="preserve">Toxqui, Áurea;Pierce, Gretchen;Althouse, Aaron P ;Carey, David , Jr;Daughters, Anton ;Fernandes, Joao Azevedo </t>
  </si>
  <si>
    <t>Temperance - Latin America - History</t>
  </si>
  <si>
    <t>Beyond the Page : Poetry and Performance in Spanish America</t>
  </si>
  <si>
    <t>https://ebookcentral.proquest.com/lib/viva-active/detail.action?docID=3411881</t>
  </si>
  <si>
    <t>Kuhnheim, Jill S.</t>
  </si>
  <si>
    <t>Literature and society - Latin America</t>
  </si>
  <si>
    <t>Biography of a Hacienda : Work and Revolution in Rural Mexico</t>
  </si>
  <si>
    <t>https://ebookcentral.proquest.com/lib/viva-active/detail.action?docID=3411882</t>
  </si>
  <si>
    <t>Newman, Elizabeth Terese</t>
  </si>
  <si>
    <t>Agriculture; Business/Management; History</t>
  </si>
  <si>
    <t>Hacienda San Miguel Acocotla (Mexico) ; Haciendas -- Mexico -- Puebla (State) -- History. ; Archaeology and history -- Mexico -- Hacienda San Miguel Acocotla. ; Land tenure -- Mexico -- Puebla (State) -- History. ; Land reform -- Mexico -- Puebla (State) -- History. ; Mexico -- History -- Revolution, 1910-1920 -- Causes. ; Mexico -- History -- Revolution, 1910-1920 -- Influence.</t>
  </si>
  <si>
    <t>Mesoamerican Plazas : Arenas of Community and Power</t>
  </si>
  <si>
    <t>https://ebookcentral.proquest.com/lib/viva-active/detail.action?docID=3411883</t>
  </si>
  <si>
    <t xml:space="preserve">Tsukamoto, Kenichiro;Inomata, Takeshi;Campiani, Arianna ;Cyphers, Senior Research Scientist at the Instituto de Investigaciones Antropolgicas Ann ;Joyce, Arthur ;Liendo Stuardo, Rodrigo </t>
  </si>
  <si>
    <t>Fine Arts; History</t>
  </si>
  <si>
    <t>Maya architecture -- Mexico. ; Maya architecture -- Central America. ; Indian architecture -- Mexico. ; Indian architecture -- Central America. ; Plazas -- Mexico. ; Plazas -- Central America. ; Mexico -- Antiquities.</t>
  </si>
  <si>
    <t>Our Sacred Maíz Is Our Mother : Indigeneity and Belonging in the Americas</t>
  </si>
  <si>
    <t>https://ebookcentral.proquest.com/lib/viva-active/detail.action?docID=3411892</t>
  </si>
  <si>
    <t>Rodríguez, Roberto Cintli;Rodríguez, Roberto Cintli</t>
  </si>
  <si>
    <t>Corn - Social aspects - Four Corners Region</t>
  </si>
  <si>
    <t>Creating Aztlán : Chicano Art, Indigenous Sovereignty, and Lowriding Across Turtle Island</t>
  </si>
  <si>
    <t>https://ebookcentral.proquest.com/lib/viva-active/detail.action?docID=3411893</t>
  </si>
  <si>
    <t>Miner, Dylan A. T.</t>
  </si>
  <si>
    <t>Colonization in art</t>
  </si>
  <si>
    <t>Thinking en Español : Interviews with Critics of Chicana/o Literature</t>
  </si>
  <si>
    <t>https://ebookcentral.proquest.com/lib/viva-active/detail.action?docID=3411897</t>
  </si>
  <si>
    <t>Rosales, Jesús;Hinojosa-Smith, Rolando;Rosales, Jesús</t>
  </si>
  <si>
    <t>American literature -- Mexican American authors -- History and criticism -- Theory, etc. ; American literature -- Mexican American authors -- History and criticism. ; Critics -- United States -- Interviews. ; Criticism -- United States -- History -- 19th century. ; Criticism -- United States -- History -- 20th century.</t>
  </si>
  <si>
    <t>Colonial Itineraries of Contemporary Mexico : Literary and Cultural Inquiries</t>
  </si>
  <si>
    <t>https://ebookcentral.proquest.com/lib/viva-active/detail.action?docID=3411899</t>
  </si>
  <si>
    <t>Estrada, Oswaldo;Nogar, Anna M.</t>
  </si>
  <si>
    <t>Colonies in motion pictures</t>
  </si>
  <si>
    <t>Mestizaje and Globalization : Transformations of Identity and Power</t>
  </si>
  <si>
    <t>https://ebookcentral.proquest.com/lib/viva-active/detail.action?docID=3411902</t>
  </si>
  <si>
    <t>Wickstrom, Stefanie;Young, Philip D.</t>
  </si>
  <si>
    <t>Mestizos - Latin America - Ethnic identity</t>
  </si>
  <si>
    <t>Mexico in Verse : A History of Music, Rhyme, and Power</t>
  </si>
  <si>
    <t>https://ebookcentral.proquest.com/lib/viva-active/detail.action?docID=3411912</t>
  </si>
  <si>
    <t xml:space="preserve">Neufeld, Stephen;Matthews, Michael;Beezley, William H. </t>
  </si>
  <si>
    <t>Music and history - Mexico</t>
  </si>
  <si>
    <t>More or Less Dead : Feminicide, Haunting, and the Ethics of Representation in Mexico</t>
  </si>
  <si>
    <t>https://ebookcentral.proquest.com/lib/viva-active/detail.action?docID=3411916</t>
  </si>
  <si>
    <t>Driver, Alice</t>
  </si>
  <si>
    <t>Fine Arts; Social Science</t>
  </si>
  <si>
    <t>Homicide - Mexico - Ciudad Juaarez</t>
  </si>
  <si>
    <t>Occupying Our Space : The Mestiza Rhetorics of Mexican Women Journalists and Activists, 1875-1942</t>
  </si>
  <si>
    <t>https://ebookcentral.proquest.com/lib/viva-active/detail.action?docID=3411919</t>
  </si>
  <si>
    <t>Ramírez, Cristina Devereaux;Royster, Jacqueline Jones;Ramírez, Cristina Devereaux</t>
  </si>
  <si>
    <t>Women in journalism - Mexico - History - 20th century</t>
  </si>
  <si>
    <t>Mexican Americans and Education : El Saber Es Poder</t>
  </si>
  <si>
    <t>https://ebookcentral.proquest.com/lib/viva-active/detail.action?docID=3411921</t>
  </si>
  <si>
    <t>Ballón, Estela Godinez;Ballón, Estela Godinez</t>
  </si>
  <si>
    <t>Education; History</t>
  </si>
  <si>
    <t>Mexican Americans - Education - United States</t>
  </si>
  <si>
    <t>Chicanas of 18th Street : Narratives of a Movement from Latino Chicago</t>
  </si>
  <si>
    <t>https://ebookcentral.proquest.com/lib/viva-active/detail.action?docID=3413869</t>
  </si>
  <si>
    <t>Ramirez, Leonard G.;Flores, Yenelli;Gamboa, Maria;González, Isaura;Pérez, Victoria;Ramirez-Castañeda, Magda;Vital, Cristina</t>
  </si>
  <si>
    <t>University of Illinois Press</t>
  </si>
  <si>
    <t>Latinos in Chicago and Midwest Ser.</t>
  </si>
  <si>
    <t>Chicano movement - Illinois - Chicago</t>
  </si>
  <si>
    <t>Compañeros : Latino Activists in the Face of AIDS</t>
  </si>
  <si>
    <t>https://ebookcentral.proquest.com/lib/viva-active/detail.action?docID=3413884</t>
  </si>
  <si>
    <t>Ramirez-Valles, Jesus</t>
  </si>
  <si>
    <t>Hispanic American sexual minorities - Political activity - United States</t>
  </si>
  <si>
    <t>Defending Their Own in the Cold : The Cultural Turns of U. S. Puerto Ricans</t>
  </si>
  <si>
    <t>https://ebookcentral.proquest.com/lib/viva-active/detail.action?docID=3413907</t>
  </si>
  <si>
    <t>Zimmerman, Marc</t>
  </si>
  <si>
    <t>Arts, Puerto Rican - Social asepcts - Illinois - Chicago</t>
  </si>
  <si>
    <t>Mexicans in California : Transformations and Challenges</t>
  </si>
  <si>
    <t>https://ebookcentral.proquest.com/lib/viva-active/detail.action?docID=3413914</t>
  </si>
  <si>
    <t>Gutierrez, Ramon A.;Zavella, Patricia</t>
  </si>
  <si>
    <t>Social change - California</t>
  </si>
  <si>
    <t>Latin American Melodrama : Passion, Pathos, and Entertainment</t>
  </si>
  <si>
    <t>https://ebookcentral.proquest.com/lib/viva-active/detail.action?docID=3414005</t>
  </si>
  <si>
    <t>Sadlier, Darlene J.;Sadlier, Darlene J.</t>
  </si>
  <si>
    <t>Motion pictures - Latin America</t>
  </si>
  <si>
    <t>Divas on Screen : Black Women in American Film</t>
  </si>
  <si>
    <t>https://ebookcentral.proquest.com/lib/viva-active/detail.action?docID=3414010</t>
  </si>
  <si>
    <t>Mask, Mia</t>
  </si>
  <si>
    <t>African American women in motion pictures</t>
  </si>
  <si>
    <t>Screening Cuba : Film Criticism As Political Performance During the Cold War</t>
  </si>
  <si>
    <t>https://ebookcentral.proquest.com/lib/viva-active/detail.action?docID=3414109</t>
  </si>
  <si>
    <t>Amaya, Hector</t>
  </si>
  <si>
    <t>Film criticism - Cuba - History - 20th century</t>
  </si>
  <si>
    <t>Alejandro González Iñárritu : Alejandro Gonzalez Inarritu</t>
  </si>
  <si>
    <t>https://ebookcentral.proquest.com/lib/viva-active/detail.action?docID=3414115</t>
  </si>
  <si>
    <t>Deleyto, Celestino;Azcona, Maria del Mar</t>
  </si>
  <si>
    <t>Contemporary Film Directors Ser.</t>
  </si>
  <si>
    <t>Gonzalez Inarritu, Alejandro</t>
  </si>
  <si>
    <t>Bringing Aztlan to Mexican Chicago : My Life, My Work, My Art</t>
  </si>
  <si>
    <t>https://ebookcentral.proquest.com/lib/viva-active/detail.action?docID=3414135</t>
  </si>
  <si>
    <t xml:space="preserve">Gonzalez, Jose Gamaliel;Zimmerman, Marc </t>
  </si>
  <si>
    <t>Gonzalez, Jose Gamaliel - Themes, motives</t>
  </si>
  <si>
    <t>Brazilian Women's Filmmaking : From Dictatorship to Democracy</t>
  </si>
  <si>
    <t>https://ebookcentral.proquest.com/lib/viva-active/detail.action?docID=3414164</t>
  </si>
  <si>
    <t>Marsh, Leslie</t>
  </si>
  <si>
    <t>Women motion picture producers and directors - Brazil</t>
  </si>
  <si>
    <t>Latino Urban Ethnography and the Work of Elena Padilla : Latino Urban Ethnography and the Work of Elena Padilla</t>
  </si>
  <si>
    <t>https://ebookcentral.proquest.com/lib/viva-active/detail.action?docID=3414203</t>
  </si>
  <si>
    <t>Rua, Merida M.</t>
  </si>
  <si>
    <t>Padilla, Elena</t>
  </si>
  <si>
    <t>Palomino : Clinton Jencks and Mexican-American Unionism in the American Southwest</t>
  </si>
  <si>
    <t>https://ebookcentral.proquest.com/lib/viva-active/detail.action?docID=3414236</t>
  </si>
  <si>
    <t>Lorence, James J.</t>
  </si>
  <si>
    <t>Working Class in American History Ser.</t>
  </si>
  <si>
    <t>Hispanics - Civil rights</t>
  </si>
  <si>
    <t>Kings for Three Days : The Play of Race and Gender in an Afro-Ecuadorian Festival</t>
  </si>
  <si>
    <t>https://ebookcentral.proquest.com/lib/viva-active/detail.action?docID=3414244</t>
  </si>
  <si>
    <t>Rahier, Jean Muteba</t>
  </si>
  <si>
    <t>Interp Culture New Millennium Ser.</t>
  </si>
  <si>
    <t>Esmeraldas (Ecuador: Province) - Social life and customs</t>
  </si>
  <si>
    <t>Latin American Migrations to the U. S. Heartland : Changing Social Landscapes in Middle America</t>
  </si>
  <si>
    <t>https://ebookcentral.proquest.com/lib/viva-active/detail.action?docID=3414245</t>
  </si>
  <si>
    <t>Allegro, Linda;Wood, Andrew Grant</t>
  </si>
  <si>
    <t>West North Central States - Emigration and immigration</t>
  </si>
  <si>
    <t>Man of Fire : Selected Writings</t>
  </si>
  <si>
    <t>https://ebookcentral.proquest.com/lib/viva-active/detail.action?docID=3414282</t>
  </si>
  <si>
    <t xml:space="preserve">Torres, Rodolfo;Galarza, Ernesto;Ibarra, Armando </t>
  </si>
  <si>
    <t>Mexican Americans - Social conditions - 20th century</t>
  </si>
  <si>
    <t>Citizens in the Present : Youth Civic Engagement in the Americas</t>
  </si>
  <si>
    <t>https://ebookcentral.proquest.com/lib/viva-active/detail.action?docID=3414285</t>
  </si>
  <si>
    <t>Torres, Maria de los Angeles;Rizzini, Irene;Del Rio, Norma</t>
  </si>
  <si>
    <t>Young volunteers</t>
  </si>
  <si>
    <t>Sex Tourism in Bahia : Ambiguous Entanglements</t>
  </si>
  <si>
    <t>https://ebookcentral.proquest.com/lib/viva-active/detail.action?docID=3414307</t>
  </si>
  <si>
    <t>Williams, Erica Lorraine</t>
  </si>
  <si>
    <t>NWSA / UIP First Book Prize Ser.</t>
  </si>
  <si>
    <t>Tourism -- Brazil -- Bahia (State) ; Brazil -- Social life and customs.</t>
  </si>
  <si>
    <t>Illegal : Reflections of an Undocumented Immigrant</t>
  </si>
  <si>
    <t>https://ebookcentral.proquest.com/lib/viva-active/detail.action?docID=3414329</t>
  </si>
  <si>
    <t>N., Jose Angel</t>
  </si>
  <si>
    <t>Illegal aliens - Illinois - Chicago</t>
  </si>
  <si>
    <t>Islanders in the Empire : Filipino and Puerto Rican Laborers in Hawai'i</t>
  </si>
  <si>
    <t>https://ebookcentral.proquest.com/lib/viva-active/detail.action?docID=3414355</t>
  </si>
  <si>
    <t>Poblete, JoAnna</t>
  </si>
  <si>
    <t>Asian American Experience Ser.</t>
  </si>
  <si>
    <t>Labor mobility - United States - History - 20th century</t>
  </si>
  <si>
    <t>Becoming Julia de Burgos : The Making of a Puerto Rican Icon</t>
  </si>
  <si>
    <t>https://ebookcentral.proquest.com/lib/viva-active/detail.action?docID=3414415</t>
  </si>
  <si>
    <t>Perez Rosario, Vanessa</t>
  </si>
  <si>
    <t>Authors, Puerto Rican</t>
  </si>
  <si>
    <t>Cannibal Writes : Eating Others in Caribbean and Indian Ocean Women's Writing</t>
  </si>
  <si>
    <t>https://ebookcentral.proquest.com/lib/viva-active/detail.action?docID=3414417</t>
  </si>
  <si>
    <t>Githire, Njeri</t>
  </si>
  <si>
    <t>Indian Ocean Region - In literature</t>
  </si>
  <si>
    <t>Embodied Protests : Emotions and Women's Health in Bolivia</t>
  </si>
  <si>
    <t>https://ebookcentral.proquest.com/lib/viva-active/detail.action?docID=3414455</t>
  </si>
  <si>
    <t>Tapias, Maria</t>
  </si>
  <si>
    <t>Women -- Bolivia -- Social conditions. ; Bolivia -- Economic conditions. ; Bolivia -- Social conditions.</t>
  </si>
  <si>
    <t>No Boundaries : Transnational Latino Gangs and American Law Enforcement</t>
  </si>
  <si>
    <t>https://ebookcentral.proquest.com/lib/viva-active/detail.action?docID=3414510</t>
  </si>
  <si>
    <t>Diaz, Tom;Swecker, Chris</t>
  </si>
  <si>
    <t>University of Michigan Press</t>
  </si>
  <si>
    <t>Hispanic American gangs -- United States. ; Gangs -- Latin America. ; Gang prevention -- United States.</t>
  </si>
  <si>
    <t>Ethnic Cues : The Role of Shared Ethnicity in Latino Political Participation</t>
  </si>
  <si>
    <t>https://ebookcentral.proquest.com/lib/viva-active/detail.action?docID=3414965</t>
  </si>
  <si>
    <t>Barreto, Matt</t>
  </si>
  <si>
    <t>The Politics of Race and Ethnicity Ser.</t>
  </si>
  <si>
    <t>Hispanic America - Ethnic identity</t>
  </si>
  <si>
    <t>Performing Queer Latinidad : Dance, Sexuality, Politics</t>
  </si>
  <si>
    <t>https://ebookcentral.proquest.com/lib/viva-active/detail.action?docID=3415106</t>
  </si>
  <si>
    <t xml:space="preserve">Rivera-Servera, Ramon;Rivera-Servera, Ramon </t>
  </si>
  <si>
    <t>Triangulations: Lesbian/Gay/Queer Theater/Drama/Performance Ser.</t>
  </si>
  <si>
    <t>Homosexuality and theater</t>
  </si>
  <si>
    <t>Fugitive Landscapes : The Forgotten History of the U.S.-Mexico Borderlands</t>
  </si>
  <si>
    <t>https://ebookcentral.proquest.com/lib/viva-active/detail.action?docID=3420304</t>
  </si>
  <si>
    <t>Truett, Samuel;William P. Clements Center for Southwest Studies</t>
  </si>
  <si>
    <t>Yale University Press</t>
  </si>
  <si>
    <t>Copper mines and mining -- Mexican-American Border Region -- History. ; Mexican-American Border Region -- History. ; Mexican-American Border Region -- Economic conditions.</t>
  </si>
  <si>
    <t>Forgotten Continent : The Battle for Latin America's Soul</t>
  </si>
  <si>
    <t>https://ebookcentral.proquest.com/lib/viva-active/detail.action?docID=3420447</t>
  </si>
  <si>
    <t>Reid, Michael</t>
  </si>
  <si>
    <t>Democracy -- Latin America -- History. ; Latin America -- Politics and government -- 1980- ; Latin America -- Economic conditions -- 1982-</t>
  </si>
  <si>
    <t>Ideology and Inquisition : The World of the Censors in Early Mexico</t>
  </si>
  <si>
    <t>https://ebookcentral.proquest.com/lib/viva-active/detail.action?docID=3420469</t>
  </si>
  <si>
    <t>Nesvig, Martin Austin</t>
  </si>
  <si>
    <t>Inquisition -- Mexico. ; Censorship -- Religious aspects -- Catholic Church. ; Censorship -- Mexico.</t>
  </si>
  <si>
    <t>All Can Be Saved : Religious Tolerance and Salvation in the Iberian Atlantic World</t>
  </si>
  <si>
    <t>https://ebookcentral.proquest.com/lib/viva-active/detail.action?docID=3420479</t>
  </si>
  <si>
    <t>Schwartz, Stuart B</t>
  </si>
  <si>
    <t>Religious tolerance -- Spain. ; Religious tolerance -- Portugal. ; Religious tolerance -- Spain -- Colonies. ; Religious tolerance -- Portugal -- Colonies. ; Spain -- Church history. ; Portugal -- Church history.</t>
  </si>
  <si>
    <t>Polemics of Possession in Spanish American Narrative</t>
  </si>
  <si>
    <t>https://ebookcentral.proquest.com/lib/viva-active/detail.action?docID=3420543</t>
  </si>
  <si>
    <t>Adorno, Rolena</t>
  </si>
  <si>
    <t>Latin America - Civilization - 17th century</t>
  </si>
  <si>
    <t>Eduardo Barreiros and the Recovery of Spain</t>
  </si>
  <si>
    <t>https://ebookcentral.proquest.com/lib/viva-active/detail.action?docID=3420569</t>
  </si>
  <si>
    <t>Thomas, Hugh</t>
  </si>
  <si>
    <t>Barreiros, Eduardo, -- 1919-1992. ; Barreiros Diesel -- History. ; Motor vehicle industry -- Spain -- History -- 20th century. ; Industrialists -- Spain -- Biography.</t>
  </si>
  <si>
    <t>The Spanish Frontier in North America</t>
  </si>
  <si>
    <t>https://ebookcentral.proquest.com/lib/viva-active/detail.action?docID=3420585</t>
  </si>
  <si>
    <t>Weber, David J.</t>
  </si>
  <si>
    <t>Spaniards -- Southwest, New -- History. ; Spaniards -- Southern States -- History. ; Frontier and pioneer life -- Southwest, New. ; Frontier and pioneer life -- Southern States. ; Southwest, New -- History -- To 1848. ; Southern States -- History -- Colonial period, ca. 1600-1775.</t>
  </si>
  <si>
    <t>Honor and Violence in Golden Age Spain</t>
  </si>
  <si>
    <t>https://ebookcentral.proquest.com/lib/viva-active/detail.action?docID=3420623</t>
  </si>
  <si>
    <t>Taylor, Scott K.</t>
  </si>
  <si>
    <t>Dueling -- Spain -- History. ; Criminal law -- Spain -- History. ; Reputation (Law) -- Spain -- History. ; Honor -- Spain -- History.</t>
  </si>
  <si>
    <t>Spain, Europe and the Wider World 1500-1800</t>
  </si>
  <si>
    <t>https://ebookcentral.proquest.com/lib/viva-active/detail.action?docID=3420642</t>
  </si>
  <si>
    <t>Elliott, John H.</t>
  </si>
  <si>
    <t>Painting, Spanish. ; Spain -- History -- House of Austria, 1516-1700. ; Spain -- History -- Bourbons, 1700- ; Spain -- Relations -- Europe. ; Europe -- Relations -- Spain. ; Spain -- Colonies -- America. ; Europe -- History -- 1492-1648.</t>
  </si>
  <si>
    <t>Fuenteovejuna</t>
  </si>
  <si>
    <t>https://ebookcentral.proquest.com/lib/viva-active/detail.action?docID=3420825</t>
  </si>
  <si>
    <t>de Vega, Lope;Racz, G. J.;González Echevarría, Roberto [Gonzalez Echevarria]</t>
  </si>
  <si>
    <t>Margellos World Republic of Letters</t>
  </si>
  <si>
    <t>Spanish literature. ; Fuenteovejuna (Spain) -- History -- Drama.</t>
  </si>
  <si>
    <t>Mexico : Democracy Interrupted</t>
  </si>
  <si>
    <t>https://ebookcentral.proquest.com/lib/viva-active/detail.action?docID=3420882</t>
  </si>
  <si>
    <t>Tuckman, Jo</t>
  </si>
  <si>
    <t>Fox Quesada, Vicente. ; Calderón Hinojosa, Felipe, -- 1962- ; Political culture -- Mexico. ; Political corruption -- Mexico. ; Democratization -- Mexico. ; Mexico -- Politics and government -- 2000-</t>
  </si>
  <si>
    <t>New Worlds : A Religious History of Latin America</t>
  </si>
  <si>
    <t>https://ebookcentral.proquest.com/lib/viva-active/detail.action?docID=3420883</t>
  </si>
  <si>
    <t>Lynch, John</t>
  </si>
  <si>
    <t>Religion -- History. ; Latin America -- Church history. ; Latin America -- Religion.</t>
  </si>
  <si>
    <t>Colour of Paradise : The Emerald in the Age of Gunpowder Empires</t>
  </si>
  <si>
    <t>https://ebookcentral.proquest.com/lib/viva-active/detail.action?docID=3420923</t>
  </si>
  <si>
    <t>Lane, Kris</t>
  </si>
  <si>
    <t>Science; Science: Geology; Engineering; Engineering: Mining</t>
  </si>
  <si>
    <t>Emeralds -- Spain -- Colonies -- History. ; Emeralds -- Colombia -- History. ; Inquisition -- Spain. ; Inquisition -- Portugal.</t>
  </si>
  <si>
    <t>The Havana Habit</t>
  </si>
  <si>
    <t>https://ebookcentral.proquest.com/lib/viva-active/detail.action?docID=3421163</t>
  </si>
  <si>
    <t>Pérez Firmat, Gustavo</t>
  </si>
  <si>
    <t>Popular culture -- United States. ; Popular culture -- Cuba. ; National characteristics, Cuban. ; Americans -- Travel -- Cuba -- History. ; United States -- Civilization -- Cuban influences. ; Cuba -- In popular culture. ; Cuba -- Social life and customs.</t>
  </si>
  <si>
    <t>Textual Exposures : Photography in Twentieth Century Latin American Narrative Fiction</t>
  </si>
  <si>
    <t>https://ebookcentral.proquest.com/lib/viva-active/detail.action?docID=3431447</t>
  </si>
  <si>
    <t>Russek, Dan</t>
  </si>
  <si>
    <t>Spanish American fiction--20th century--History and criticism.</t>
  </si>
  <si>
    <t>Continuing La Causa : Organizing Labor in California's Strawberry Fields</t>
  </si>
  <si>
    <t>https://ebookcentral.proquest.com/lib/viva-active/detail.action?docID=3433707</t>
  </si>
  <si>
    <t>Mireles, Gilbert Felipe</t>
  </si>
  <si>
    <t>Latinos: Exploring Diversity and Change</t>
  </si>
  <si>
    <t>Labor unions - Organizing - California</t>
  </si>
  <si>
    <t>The Politics of Crime in Mexico : Democratic Governance in a Security Trap</t>
  </si>
  <si>
    <t>https://ebookcentral.proquest.com/lib/viva-active/detail.action?docID=3433712</t>
  </si>
  <si>
    <t>Bailey, John</t>
  </si>
  <si>
    <t>Internal security - Political aspects - Mexico</t>
  </si>
  <si>
    <t>Machado de Assis : Toward a Poetics of Emulation</t>
  </si>
  <si>
    <t>https://ebookcentral.proquest.com/lib/viva-active/detail.action?docID=3433766</t>
  </si>
  <si>
    <t>de Castro Rocha, João Cezar;Thomson-DeVeaux, Flora;de Castro Rocha, João Cezar</t>
  </si>
  <si>
    <t>Studies in Violence, Mimesis and Culture Ser.</t>
  </si>
  <si>
    <t>Machado de Assis, -- 1839-1908 -- Criticism and interpretation. ; Imitation in literature.</t>
  </si>
  <si>
    <t>U. S. Latinos and Criminal Injustice</t>
  </si>
  <si>
    <t>https://ebookcentral.proquest.com/lib/viva-active/detail.action?docID=3433770</t>
  </si>
  <si>
    <t>Salinas, Lupe S.</t>
  </si>
  <si>
    <t>Hispanic Americans - United States - Politics and government</t>
  </si>
  <si>
    <t>Buzzing Hemisphere / Rumor Hemisférico</t>
  </si>
  <si>
    <t>https://ebookcentral.proquest.com/lib/viva-active/detail.action?docID=3440631</t>
  </si>
  <si>
    <t>Noel, Urayoán</t>
  </si>
  <si>
    <t>Hispanic Americans</t>
  </si>
  <si>
    <t>Shameful Victory : The Los Angeles Dodgers, the Red Scare, and the Hidden History of Chavez Ravine</t>
  </si>
  <si>
    <t>https://ebookcentral.proquest.com/lib/viva-active/detail.action?docID=3440644</t>
  </si>
  <si>
    <t>Laslett, John H. M.</t>
  </si>
  <si>
    <t>Land use - California - Los Angeles - History - 20th century</t>
  </si>
  <si>
    <t>Feminist and Human Rights Struggles in Peru : Decolonizing Transitional Justice</t>
  </si>
  <si>
    <t>https://ebookcentral.proquest.com/lib/viva-active/detail.action?docID=3440684</t>
  </si>
  <si>
    <t>Bueno-Hansen, Pascha</t>
  </si>
  <si>
    <t>Dissident Feminisms Ser.</t>
  </si>
  <si>
    <t>Human rights movements - Peru</t>
  </si>
  <si>
    <t>Brazil and the Dialectic of Colonization : The Provocative Classic in Its First-Ever English Translation</t>
  </si>
  <si>
    <t>https://ebookcentral.proquest.com/lib/viva-active/detail.action?docID=3440685</t>
  </si>
  <si>
    <t>Bosi, Alfredo;Newcomb, Robert Patrick</t>
  </si>
  <si>
    <t>Lemann Institute for Brazilian Studies Ser.</t>
  </si>
  <si>
    <t>Brasilien</t>
  </si>
  <si>
    <t>Cuban Catholics in the United States, 1960-1980 : Exile and Integration</t>
  </si>
  <si>
    <t>https://ebookcentral.proquest.com/lib/viva-active/detail.action?docID=3440976</t>
  </si>
  <si>
    <t>University of Notre Dame Press</t>
  </si>
  <si>
    <t>Latino Perspectives</t>
  </si>
  <si>
    <t>Cuban American Catholics -- History -- 20th century.</t>
  </si>
  <si>
    <t>The Xaripu Community Across Borders : Labor Migration, Community, and Family</t>
  </si>
  <si>
    <t>https://ebookcentral.proquest.com/lib/viva-active/detail.action?docID=3440983</t>
  </si>
  <si>
    <t>Barajas, Manuel</t>
  </si>
  <si>
    <t>Latino Perspectives Ser.</t>
  </si>
  <si>
    <t>Foreign workers - California</t>
  </si>
  <si>
    <t>Pastoral Quechua : The History of Christian Translation in Colonial Peru, 1550-1654</t>
  </si>
  <si>
    <t>https://ebookcentral.proquest.com/lib/viva-active/detail.action?docID=3441005</t>
  </si>
  <si>
    <t>Durston, Alan</t>
  </si>
  <si>
    <t>History, Languages, and Cultures of the Spanish and Portuguese Worlds Ser.</t>
  </si>
  <si>
    <t>Peru - History - 1548-1820</t>
  </si>
  <si>
    <t>Judicial Reform as Political Insurance : Argentina, Peru, and Mexico in The 1990s</t>
  </si>
  <si>
    <t>https://ebookcentral.proquest.com/lib/viva-active/detail.action?docID=3441012</t>
  </si>
  <si>
    <t>Finkel, Jody S.</t>
  </si>
  <si>
    <t>From the Helen Kellogg Institute for International Studies</t>
  </si>
  <si>
    <t>Justice, Administration of -- Latin America. ; Political questions and judicial power -- Latin America. ; Justice, Administration of -- Argentina. ; Justice, Administration of -- Peru. ; Justice, Administration of -- Mexico. ; Latin America -- Politics and government -- 1980-</t>
  </si>
  <si>
    <t>A Promised Land, a Perilous Journey : Theological Perspectives on Migration</t>
  </si>
  <si>
    <t>https://ebookcentral.proquest.com/lib/viva-active/detail.action?docID=3441020</t>
  </si>
  <si>
    <t xml:space="preserve">Groody, Daniel G.;Campese, Gioacchino;Rodriguez, Oscar Cardinal ;Campese, Gioacchino ;Groody, Daniel G. ;Hagan, Jacqueline ;Senior, Donald ;Phan, Peter ;Nava, Alex ;Gutierrez, Gustavo </t>
  </si>
  <si>
    <t>Emigration and immigration -- Religious aspects -- Catholic Church. ; United States -- Emigration and immigration -- Religious aspects -- Catholic Church.</t>
  </si>
  <si>
    <t>Looking Forward : Comparative Perspectives on Cuba's Transition</t>
  </si>
  <si>
    <t>https://ebookcentral.proquest.com/lib/viva-active/detail.action?docID=3441025</t>
  </si>
  <si>
    <t xml:space="preserve">Perez-Stable, Marifeli;Cardoso, Fernando Henrique ;Arnavat, Gustavo ;Dominguez, Jorge I. ;Erikson, Daniel P. ;Fernandez, Damian J. ;Htun, Mala  ;LeoGrande, William M. ;Mesa-Lago, Carmelo ;Perez, Lisandro </t>
  </si>
  <si>
    <t>Kellogg Institute Series on Democracy and Development Ser.</t>
  </si>
  <si>
    <t>Cuba -- Forecasting. ; Cuba -- History -- 1990-</t>
  </si>
  <si>
    <t>Religious Pluralism, Democracy, and the Catholic Church in Latin America</t>
  </si>
  <si>
    <t>https://ebookcentral.proquest.com/lib/viva-active/detail.action?docID=3441040</t>
  </si>
  <si>
    <t xml:space="preserve">Hagopian, Frances;Hagopian, Frances ;Inglehart, Ronald F. ;Loaeza, Soledad ;Gumucio, Cristian Parker ;Rodriguez, Patricia M. ;Blancarte, Roberto J. ;Htun, Mala  ;Romero, Catalina ;Levine, Daniel H. </t>
  </si>
  <si>
    <t>Catholic Church -- Latin America -- Congresses. ; Religious pluralism -- Latin America -- Congresses. ; Democracy -- Latin America -- Congresses. ; Religious pluralism -- Catholic Church -- Congresses. ; Democracy -- Religious aspects -- Catholic Church -- Congresses. ; Latin America -- Church history -- Congresses.</t>
  </si>
  <si>
    <t>Beyond the Barrio : Latinos in the 2004 Elections</t>
  </si>
  <si>
    <t>https://ebookcentral.proquest.com/lib/viva-active/detail.action?docID=3441041</t>
  </si>
  <si>
    <t>de la Garza, Rodolfo O.;DeSipio, Louis;Leal, David L.</t>
  </si>
  <si>
    <t>United States. -- Congress -- Elections, 2004. ; Hispanic Americans -- Politics and government -- 21st century. ; Elections -- United States. ; Presidents -- United States -- Election -- 2004. ; United States -- Politics and government -- 2001-2009.</t>
  </si>
  <si>
    <t>Contested Territory : Mapping Peru in the Sixteenth and Seventeenth Centuries</t>
  </si>
  <si>
    <t>https://ebookcentral.proquest.com/lib/viva-active/detail.action?docID=3441059</t>
  </si>
  <si>
    <t>Scott, Heidi V.</t>
  </si>
  <si>
    <t>History, Languages, and Cultures of the Spanish and Portuguese Worlds</t>
  </si>
  <si>
    <t>Spaniards -- Peru -- History -- 16th century. ; Spaniards -- Peru -- History -- 17th century. ; Cultural landscapes -- Peru. ; Human geography -- Peru. ; Peru -- History -- Conquest, 1522-1548. ; Peru -- History -- 1548-1820. ; Peru -- Discovery and exploration -- Spanish.</t>
  </si>
  <si>
    <t>The New Orleans Sisters of the Holy Family : African American Missionaries to the Garifuna of Belize</t>
  </si>
  <si>
    <t>https://ebookcentral.proquest.com/lib/viva-active/detail.action?docID=3441093</t>
  </si>
  <si>
    <t>Brett, Edward T.</t>
  </si>
  <si>
    <t>Belize - Church history</t>
  </si>
  <si>
    <t>Roots of Brazil : Sergio Buarque de Holanda</t>
  </si>
  <si>
    <t>https://ebookcentral.proquest.com/lib/viva-active/detail.action?docID=3441109</t>
  </si>
  <si>
    <t>Summ, G. Harvey;Buarque de Holanda, Sérgio;Monteiro, Pedro Meira</t>
  </si>
  <si>
    <t>ND Kellogg Inst Int'l Studies</t>
  </si>
  <si>
    <t>Brazil - Civilization</t>
  </si>
  <si>
    <t>Diffusion of Good Government : Social Sector Reforms in Brazil</t>
  </si>
  <si>
    <t>https://ebookcentral.proquest.com/lib/viva-active/detail.action?docID=3441119</t>
  </si>
  <si>
    <t>Sugiyama, Natasha Borges</t>
  </si>
  <si>
    <t>Brazil - Social conditions - 20th century</t>
  </si>
  <si>
    <t>Democracy in Latin America : Between Hope and Despair</t>
  </si>
  <si>
    <t>https://ebookcentral.proquest.com/lib/viva-active/detail.action?docID=3441131</t>
  </si>
  <si>
    <t>Walker, Ignacio;Krause, Krystin;Bird, Holly;Mainwaring, Scott</t>
  </si>
  <si>
    <t>Democracy - Latin America</t>
  </si>
  <si>
    <t>Immigration and the Border : Politics and Policy in the New Latino Century</t>
  </si>
  <si>
    <t>https://ebookcentral.proquest.com/lib/viva-active/detail.action?docID=3441135</t>
  </si>
  <si>
    <t>Leal, David L.;Limón, José E.</t>
  </si>
  <si>
    <t>Immigrants - Political activity - United States</t>
  </si>
  <si>
    <t>Authoritarian el Salvador : Politics and the Origins of the Military Regimes, 1880-1940</t>
  </si>
  <si>
    <t>https://ebookcentral.proquest.com/lib/viva-active/detail.action?docID=3441155</t>
  </si>
  <si>
    <t>Ching, Erik</t>
  </si>
  <si>
    <t>Military government - El Salvador - History - 20th century</t>
  </si>
  <si>
    <t>Jalos, USA : Transnational Community and Identity</t>
  </si>
  <si>
    <t>https://ebookcentral.proquest.com/lib/viva-active/detail.action?docID=3441165</t>
  </si>
  <si>
    <t>Mexicans -- California -- Turlock -- Social conditions. ; Jalostotitlán (Mexico) -- Relations -- Texas -- Turlock. ; Turlock (Calif.) -- Relations -- Mexico -- Jalostotitlan. ; Jalostotitlán (Mexico) -- Emigration and immigration. ; Turlock (Calif.) -- Emigration and immigration.</t>
  </si>
  <si>
    <t>Open Your Heart : Religion and Cultural Poetics of Greater Mexico</t>
  </si>
  <si>
    <t>https://ebookcentral.proquest.com/lib/viva-active/detail.action?docID=3441187</t>
  </si>
  <si>
    <t>Sandell, David P.</t>
  </si>
  <si>
    <t>Catholic Church -- Customs and practices. ; Mexican American Catholics -- California -- Fresno -- Religious life.</t>
  </si>
  <si>
    <t>Activating Democracy in Brazil : Popular Participation, Social Justice, and Interlocking Institutions</t>
  </si>
  <si>
    <t>https://ebookcentral.proquest.com/lib/viva-active/detail.action?docID=3441192</t>
  </si>
  <si>
    <t>Wampler, Brian</t>
  </si>
  <si>
    <t>Democracy -- Brazil. ; Political participation -- Brazil. ; Social justice -- Brazil.</t>
  </si>
  <si>
    <t>English Renaissance Drama and the Specter of Spain : Ethnopoetics and Empire</t>
  </si>
  <si>
    <t>https://ebookcentral.proquest.com/lib/viva-active/detail.action?docID=3441664</t>
  </si>
  <si>
    <t>Griffin, Eric J.</t>
  </si>
  <si>
    <t>University of Pennsylvania Press</t>
  </si>
  <si>
    <t>Shakespeare, William, -- 1564-1616 -- Knowledge -- Spain. ; English drama -- Early modern and Elizabethan, 1500-1600 -- History and criticism. ; English drama -- 17th century -- History and criticism. ; National characteristics, Spanish, in literature. ; Public opinion -- Great Britain -- History. ; Spain -- In literature. ; Spain -- Foreign public opinion, British -- History.</t>
  </si>
  <si>
    <t>Not in This Family : Gays and the Meaning of Kinship in Postwar North America</t>
  </si>
  <si>
    <t>https://ebookcentral.proquest.com/lib/viva-active/detail.action?docID=3441797</t>
  </si>
  <si>
    <t>Murray, Heather</t>
  </si>
  <si>
    <t>Politics and Culture in Modern America Ser.</t>
  </si>
  <si>
    <t>Gay men -- United States -- History -- 20th century. ; Gay men -- Family relationships -- United States -- History -- 20th century.</t>
  </si>
  <si>
    <t>Historical Archaeology at Tikal, Guatemala : Tikal Report 37</t>
  </si>
  <si>
    <t>https://ebookcentral.proquest.com/lib/viva-active/detail.action?docID=3441819</t>
  </si>
  <si>
    <t>Moholy-Nagy, Hattula</t>
  </si>
  <si>
    <t>University Museum Publications</t>
  </si>
  <si>
    <t>Excavations (Archaeology) -- Guatemala -- Tikal Site -- History. ; Tikal Site (Guatemala)</t>
  </si>
  <si>
    <t>Piety and Public Funding</t>
  </si>
  <si>
    <t>https://ebookcentral.proquest.com/lib/viva-active/detail.action?docID=3441868</t>
  </si>
  <si>
    <t>Schäfer, Axel R.</t>
  </si>
  <si>
    <t>Faith-based human services -- Political aspects -- United States -- History -- 20th century. ; Public-private sector cooperation -- Political aspects -- United States -- History -- 20th century. ; Church and state -- United States -- History -- 20th century. ; Religion and politics -- United States -- History -- 20th century. ; Evangelicalism -- United States -- History -- 20th century.</t>
  </si>
  <si>
    <t>An Army of Lions : The Civil Rights Struggle Before the NAACP</t>
  </si>
  <si>
    <t>https://ebookcentral.proquest.com/lib/viva-active/detail.action?docID=3441914</t>
  </si>
  <si>
    <t>Alexander, Shawn Leigh</t>
  </si>
  <si>
    <t>African Americans -- Civil rights -- History -- 19th century. ; African Americans -- Civil rights -- History -- 20th century. ; Civil rights movements -- Civil rights -- History -- 19th century. ; Civil rights movements -- Civil rights -- History -- 20th century. ; African Americans -- Politics and government -- 19th century. ; African Americans -- Politics and government -- 20th century. ; African Americans -- Social conditions -- To 1964.</t>
  </si>
  <si>
    <t>Making New York Dominican : Small Business, Politics, and Everyday Life</t>
  </si>
  <si>
    <t>https://ebookcentral.proquest.com/lib/viva-active/detail.action?docID=3442011</t>
  </si>
  <si>
    <t>Krohn-Hansen, Christian</t>
  </si>
  <si>
    <t>The City in the Twenty-First Century Ser.</t>
  </si>
  <si>
    <t>Dominican Americans -- New York (State) -- New York -- Economic conditions -- 21st century. ; Dominican Americans -- New York (State) -- New York -- Politics and government -- 21st century. ; Dominican Americans -- New York (State) -- New York -- Social life and customs -- 21st century. ; Small business -- New York (State) -- New York -- History -- 21st century. ; New York (N.Y.) -- Ethnic relations -- History -- 21st century.</t>
  </si>
  <si>
    <t>Locked in, Locked Out : Gated Communities in a Puerto Rican City</t>
  </si>
  <si>
    <t>https://ebookcentral.proquest.com/lib/viva-active/detail.action?docID=3442159</t>
  </si>
  <si>
    <t>Dinzey-Flores, Zaire Zenit</t>
  </si>
  <si>
    <t>Gated communities -- Social aspects -- Puerto Rico -- Ponce -- History -- 20th century. ; Sociology, Urban -- Puerto Rico -- Ponce -- History -- 20th century. ; Ponce (P.R.) -- Social conditions -- 20th century.</t>
  </si>
  <si>
    <t>To March for Others : The Black Freedom Struggle and the United Farm Workers</t>
  </si>
  <si>
    <t>https://ebookcentral.proquest.com/lib/viva-active/detail.action?docID=3442295</t>
  </si>
  <si>
    <t>Araiza, Lauren</t>
  </si>
  <si>
    <t>United Farm Workers of America -- History -- 20th century. ; African Americans -- Civil rights -- History -- 20th century. ; African Americans -- Relations with Mexican Americans -- History -- 20th century. ; Civil rights movements -- United States -- History -- 20th century. ; Mexican American agricultural laborers -- Civil rights -- History -- 20th century. ; United States -- Ethnic relations -- History -- 20th century. ; United States -- Race relations -- History -- 20th century.</t>
  </si>
  <si>
    <t>The Bishop's Utopia : Envisioning Improvement in Colonial Peru</t>
  </si>
  <si>
    <t>https://ebookcentral.proquest.com/lib/viva-active/detail.action?docID=3442345</t>
  </si>
  <si>
    <t>Berquist Soule, Emily</t>
  </si>
  <si>
    <t>The Early Modern Americas Ser.</t>
  </si>
  <si>
    <t>Martínez Compañón y Bujanda, Baltasar Jaime, -- 1735-1797. ; Martínez Compañón y Bujanda, Baltasar Jaime, -- 1735-1797. -- Trujillo del Perú a fines del siglo XVIII. ; Indians of South America -- Material culture -- Peru -- Trujillo (La Libertad) ; Indians of South America -- Ethnobotany -- Peru -- Trujillo (La Libertad) ; Indians of South America -- Peru -- Trujillo (La Libertad) -- Social conditions -- 18th century. ; Social planning -- Peru -- Trujillo (La Libertad) -- History -- 18th century. ; Utopias -- Peru -- Trujillo (La Libertad) -- History -- 18th century.</t>
  </si>
  <si>
    <t>Black Cosmopolitanism : Racial Consciousness and Transnational Identity in the Nineteenth-Century Americas</t>
  </si>
  <si>
    <t>https://ebookcentral.proquest.com/lib/viva-active/detail.action?docID=3442354</t>
  </si>
  <si>
    <t>Nwankwo, Ifeoma Kiddoe</t>
  </si>
  <si>
    <t>University of Pennsylvania Press, Inc.</t>
  </si>
  <si>
    <t>Rethinking the Americas</t>
  </si>
  <si>
    <t>African Americans -- Race identity. ; Blacks -- Race identity -- West Indies. ; Cosmopolitanism. ; Transnationalism. ; African Americans -- Intellectual life.</t>
  </si>
  <si>
    <t>Migrant Youth, Transnational Families, and the State : Care and Contested Interests</t>
  </si>
  <si>
    <t>https://ebookcentral.proquest.com/lib/viva-active/detail.action?docID=3442369</t>
  </si>
  <si>
    <t>Heidbrink, Lauren</t>
  </si>
  <si>
    <t>Pennsylvania Studies in Human Rights Ser.</t>
  </si>
  <si>
    <t>Migrant agricultural laborers -- Government policy -- United States -- 21st century. ; Children of migrant laborers -- Services for -- United States -- 21st century. ; Children of migrant laborers -- United States -- United States -- 21st century. ; Children of migrant laborers -- Government policy -- United States -- 21st century.</t>
  </si>
  <si>
    <t>Backroads Pragmatists : Mexico's Melting Pot and Civil Rights in the United States</t>
  </si>
  <si>
    <t>https://ebookcentral.proquest.com/lib/viva-active/detail.action?docID=3442522</t>
  </si>
  <si>
    <t>Flores, Rubén</t>
  </si>
  <si>
    <t>Cultural pluralism -- Mexico -- History -- 20th century. ; Nationalism -- Mexico -- History -- 20th century. ; Education and state -- Mexico -- History -- 20th century. ; Civil rights movements -- United States -- History -- 20th century. ; Social movements -- Southwest, New -- History -- 20th century. ; Social reformers -- Mexico -- History -- 20th century. ; Social reformers -- United States -- History -- 20th century.</t>
  </si>
  <si>
    <t>Diverse by Design : Literacy Education within Multicultural Institutions</t>
  </si>
  <si>
    <t>https://ebookcentral.proquest.com/lib/viva-active/detail.action?docID=3442834</t>
  </si>
  <si>
    <t>Schroeder, Christopher</t>
  </si>
  <si>
    <t>Utah State University Press</t>
  </si>
  <si>
    <t>Education; Literature</t>
  </si>
  <si>
    <t>Hispanic Americans - Education (Higher)</t>
  </si>
  <si>
    <t>Transiciones : Pathways of Latinas and Latinos Writing in High School and College</t>
  </si>
  <si>
    <t>https://ebookcentral.proquest.com/lib/viva-active/detail.action?docID=3442939</t>
  </si>
  <si>
    <t>Ruecker, Todd</t>
  </si>
  <si>
    <t>English language -- Rhetoric -- Study and teaching. ; English language -- Study and teaching (Higher) -- Spanish speakers. ; English language -- Study and teaching (Secondary) -- Spanish speakers. ; Language arts -- Remedial teaching. ; First-generation college students -- United States. ; Hispanic Americans -- Education (Higher) ; Hispanic Americans -- Education (Secondary)</t>
  </si>
  <si>
    <t>Chicano/a : Representations of Gender, Sexuality and Ethnicity</t>
  </si>
  <si>
    <t>https://ebookcentral.proquest.com/lib/viva-active/detail.action?docID=3442974</t>
  </si>
  <si>
    <t>University of Texas Press</t>
  </si>
  <si>
    <t>Brown on Brown</t>
  </si>
  <si>
    <t>American literature -- Mexican American authors -- History and criticism. ; Gays'' writings, American -- History and criticism. ; Homosexuality and literature -- United States. ; Mexican American gays -- Intellectual life. ; Mexican Americans -- Intellectual life. ; Mexican Americans in literature. ; Gender identity in literature.</t>
  </si>
  <si>
    <t>Hispanic Methodists, Presbyterians, and Baptists in Texas</t>
  </si>
  <si>
    <t>https://ebookcentral.proquest.com/lib/viva-active/detail.action?docID=3442982</t>
  </si>
  <si>
    <t>Barton, Paul</t>
  </si>
  <si>
    <t>Hispanic Americans -- Texas -- Religion. ; Church work with Hispanic Americans. ; Texas -- Church history.</t>
  </si>
  <si>
    <t>Hispanic Spaces, Latino Places : Community and Cultural Diversity in Contemporary America</t>
  </si>
  <si>
    <t>https://ebookcentral.proquest.com/lib/viva-active/detail.action?docID=3442984</t>
  </si>
  <si>
    <t>Arreola, Daniel D.</t>
  </si>
  <si>
    <t>Hispanic Americans -- Social conditions -- Case studies. ; Human geography -- United States -- Case studies.</t>
  </si>
  <si>
    <t>Spilling the Beans in Chicanolandia : Conversations with Writers and Artists</t>
  </si>
  <si>
    <t>https://ebookcentral.proquest.com/lib/viva-active/detail.action?docID=3442993</t>
  </si>
  <si>
    <t>American literature -- Mexican American authors -- History and criticism -- Theory, etc. ; Mexican American authors -- Interviews. ; Mexican American artists -- Interviews. ; Mexican Americans -- Intellectual life. ; Mexican Americans in literature. ; Mexican American art.</t>
  </si>
  <si>
    <t>Monumental Ambivalence : The Politics of Heritage</t>
  </si>
  <si>
    <t>https://ebookcentral.proquest.com/lib/viva-active/detail.action?docID=3443019</t>
  </si>
  <si>
    <t>Breglia, Lisa C.</t>
  </si>
  <si>
    <t>Mayas -- Mexico -- Yucatán (State) -- Ethnic identity. ; Mayas -- Mexico -- Yucatán (State) -- Government relations. ; Cultural property -- Protection -- Mexico -- Yucatán (State) ; Cultural property -- Government policy -- Mexico -- Yucatán (State) ; Privatization -- Mexico -- Yucatán (State) ; Contracting out -- Mexico -- Yucatán (State) ; Yucatán (Mexico : State) -- Ethnic relations.</t>
  </si>
  <si>
    <t>With Her Machete in Her Hand : Reading Chicana Lesbians</t>
  </si>
  <si>
    <t>https://ebookcentral.proquest.com/lib/viva-active/detail.action?docID=3443037</t>
  </si>
  <si>
    <t>Esquibel, Catrina Rueda</t>
  </si>
  <si>
    <t>Lesbians'' writings, American -- History and criticism. ; American literature -- Mexican American authors -- History and criticism. ; American literature -- Women authors -- History and criticism. ; Mexican American lesbians -- Intellectual life. ; Mexican American women -- Intellectual life. ; Women and literature -- United States. ; Mexican American women in literature.</t>
  </si>
  <si>
    <t>Narcotraficante : Narcocorridos and the Construction of a Cultural Persona on the U.S.-Mexican Border</t>
  </si>
  <si>
    <t>https://ebookcentral.proquest.com/lib/viva-active/detail.action?docID=3443040</t>
  </si>
  <si>
    <t>Edberg, Mark Cameron</t>
  </si>
  <si>
    <t>Drug traffic -- Mexico. ; Drug traffic -- Mexico -- Folklore. ; Drug traffic -- Mexico -- Songs and music. ; Drug dealers -- Mexico -- Folklore. ; Drug dealers -- Mexico -- Songs and music. ; Drugs in popular music. ; Corridos -- Mexico.</t>
  </si>
  <si>
    <t>This Land was Mexican Once : Histories of Resistance from Northern California</t>
  </si>
  <si>
    <t>https://ebookcentral.proquest.com/lib/viva-active/detail.action?docID=3443046</t>
  </si>
  <si>
    <t>Heidenreich, Linda</t>
  </si>
  <si>
    <t>Mexican Americans -- California -- Napa County -- History -- Anecdotes. ; Wappo Indians -- California -- Napa County -- History -- Anecdotes. ; Women -- California -- Napa County -- History -- Anecdotes. ; Immigrants -- California -- Napa County -- History -- Anecdotes. ; Government, Resistance to -- California -- Napa County -- History -- Anecdotes. ; Napa County (Calif.) -- Historiography. ; Napa County (Calif.) -- History -- Anecdotes.</t>
  </si>
  <si>
    <t>Rancheros in Chicagoacan : Language and Identity in a Transnational Community</t>
  </si>
  <si>
    <t>https://ebookcentral.proquest.com/lib/viva-active/detail.action?docID=3443047</t>
  </si>
  <si>
    <t>Anthropological linguistics -- Mexico. ; Anthropological linguistics -- United States. ; Mexican Americans -- Languages. ; Spanish language -- Social aspects -- Mexico. ; Group identity.</t>
  </si>
  <si>
    <t>Queer Issues in Contemporary Latin American Cinema</t>
  </si>
  <si>
    <t>https://ebookcentral.proquest.com/lib/viva-active/detail.action?docID=3443082</t>
  </si>
  <si>
    <t>Foster, David William</t>
  </si>
  <si>
    <t>Homosexuality in motion pictures. ; Motion pictures -- Latin America.</t>
  </si>
  <si>
    <t>Butterflies Will Burn : Prosecuting Sodomites in Early Modern Spain and Mexico</t>
  </si>
  <si>
    <t>https://ebookcentral.proquest.com/lib/viva-active/detail.action?docID=3443103</t>
  </si>
  <si>
    <t>Garza Carvajal, Federico</t>
  </si>
  <si>
    <t>Men -- Spain -- Andalusia -- History. ; Masculinity -- Mexico -- History. ; Trials (Sodomy) -- Spain -- Andalusia -- History. ; Trials (Sodomy) -- Mexico -- History. ; Sex role.</t>
  </si>
  <si>
    <t>Ritual and Power in Stone : The Performance of Rulership in Mesoamerican Izapan Style Art</t>
  </si>
  <si>
    <t>https://ebookcentral.proquest.com/lib/viva-active/detail.action?docID=3443104</t>
  </si>
  <si>
    <t>Guernsey, Julia</t>
  </si>
  <si>
    <t>Mayas -- Mexico -- Soconusco Region -- Antiquities. ; Maya sculpture -- Mexico -- Soconusco Region. ; Maya art -- Mexico -- Soconusco Region. ; Maya architecture -- Mexico -- Soconusco Region. ; Petroglyphs -- Mexico -- Soconusco Region. ; Excavations (Archaeology) -- Mexico -- Soconusco Region. ; Izapa Site (Mexico)</t>
  </si>
  <si>
    <t>Padres : The National Chicano Priest Movement</t>
  </si>
  <si>
    <t>https://ebookcentral.proquest.com/lib/viva-active/detail.action?docID=3443154</t>
  </si>
  <si>
    <t>Martínez, Richard Edward</t>
  </si>
  <si>
    <t>Padres Asociados para Derechos Religiosos, Educativos y Sociales -- History. ; Catholic Church -- United States -- Clergy -- Political activity -- History -- 20th century. ; Civil rights workers -- United States -- History -- 20th century. ; Political activists -- United States -- History -- 20th century. ; Priests -- United States -- Political activity -- History -- 20th century. ; Mexican Americans -- Civil rights -- History -- 20th century. ; Civil rights movements -- United States -- History -- 20th century.</t>
  </si>
  <si>
    <t>So That All Shall Know - Para Que Todos lo Sepan : Photographs by Daniel Hernandez-Salazar - Fotografias de Daniel Hernandez-Salazar</t>
  </si>
  <si>
    <t>https://ebookcentral.proquest.com/lib/viva-active/detail.action?docID=3443166</t>
  </si>
  <si>
    <t>Maldonado, Oscar Ivan;Hernandez-Salazar, Daniel</t>
  </si>
  <si>
    <t>HernÃ¡ndez-Salazar, Daniel. ; Documentary photography -- Guatemala.</t>
  </si>
  <si>
    <t>From Cuenca to Queens : An Anthropological Story of Transnational Migration</t>
  </si>
  <si>
    <t>https://ebookcentral.proquest.com/lib/viva-active/detail.action?docID=3443168</t>
  </si>
  <si>
    <t>Miles, Ann</t>
  </si>
  <si>
    <t>Ecuadorian Americans -- New York (State) -- New York -- Social conditions. ; Immigrants -- New York (State) -- New York -- Social conditions. ; Ecuadorians -- Migrations. ; Transnationalism -- Case studies. ; Ethnology -- Case studies. ; Ecuador -- Emigration and immigration -- Case studies. ; United States -- Emigration and immigration -- Case studies.</t>
  </si>
  <si>
    <t>Apple Pie and Enchiladas : Latino Newcomers in the Rural Midwest</t>
  </si>
  <si>
    <t>https://ebookcentral.proquest.com/lib/viva-active/detail.action?docID=3443174</t>
  </si>
  <si>
    <t>Millard, Ann V.;Chapa, Jorge;Burillo, Catalina</t>
  </si>
  <si>
    <t>Hispanic Americans -- Middle West -- Social conditions. ; Community life -- Middle West. ; Immigrants -- Middle West -- Social conditions. ; Migration, Internal -- United States. ; Middle West -- Rural conditions. ; Middle West -- Ethnic relations.</t>
  </si>
  <si>
    <t>Teatro Chicana : A Collective Memoir and Selected Plays</t>
  </si>
  <si>
    <t>https://ebookcentral.proquest.com/lib/viva-active/detail.action?docID=3443175</t>
  </si>
  <si>
    <t>Gutierrez, Sandra M.;Garcia, Laura E.;Nuñez, Felicitas</t>
  </si>
  <si>
    <t>Teatro de las Chicanas (Theater group) ; American drama -- Mexican American authors. ; American drama -- Women authors. ; American drama -- 20th century. ; Feminist theater -- California -- San Diego -- History -- 20th century. ; Mexican American theater -- California -- San Diego -- History -- 20th century.</t>
  </si>
  <si>
    <t>Science in Latin America : A History</t>
  </si>
  <si>
    <t>https://ebookcentral.proquest.com/lib/viva-active/detail.action?docID=3443176</t>
  </si>
  <si>
    <t>Saldaña, Juan José;Madrigal, Bernabé</t>
  </si>
  <si>
    <t>Science -- Latin America -- History. ; Science -- Social aspects -- Latin America.</t>
  </si>
  <si>
    <t>From Bananas to Buttocks : The Latina Body in Popular Film and Culture</t>
  </si>
  <si>
    <t>https://ebookcentral.proquest.com/lib/viva-active/detail.action?docID=3443179</t>
  </si>
  <si>
    <t>Mendible, Myra</t>
  </si>
  <si>
    <t>Hispanic American women -- Public opinion. ; Hispanic American women -- Ethnic identity. ; Hispanic American women in mass media. ; Popular culture -- United States. ; Human body -- Social aspects -- United States. ; Femininity -- United States. ; Stereotypes (Social psychology) -- United States.</t>
  </si>
  <si>
    <t>Cycles of Time and Meaning in the Mexican Books of Fate</t>
  </si>
  <si>
    <t>https://ebookcentral.proquest.com/lib/viva-active/detail.action?docID=3443186</t>
  </si>
  <si>
    <t>Boone, Elizabeth Hill</t>
  </si>
  <si>
    <t>Science: Astronomy; History; Science</t>
  </si>
  <si>
    <t>Aztec mythology. ; Aztec calendar. ; Manuscripts, Nahuatl -- Mexico. ; Aztecs -- Rites and ceremonies.</t>
  </si>
  <si>
    <t>Hidden History of Capoeira : A Collision of Cultures in the Brazilian Battle Dance</t>
  </si>
  <si>
    <t>https://ebookcentral.proquest.com/lib/viva-active/detail.action?docID=3443194</t>
  </si>
  <si>
    <t>Talmon-Chvaicer, Maya</t>
  </si>
  <si>
    <t>Capoeira (Dance) -- Social aspects -- Brazil -- History. ; Brazil -- Social life and customs.</t>
  </si>
  <si>
    <t>Fernandez de Oviedo's Chronicle of America : A New History for a New World</t>
  </si>
  <si>
    <t>https://ebookcentral.proquest.com/lib/viva-active/detail.action?docID=3443195</t>
  </si>
  <si>
    <t xml:space="preserve">Myers, Kathleen Ann;Scott, Nina M.;Fernandez de Oviedo y Valdes, Gonzalo </t>
  </si>
  <si>
    <t>Fernández de Oviedo y Valdés, Gonzalo, -- 1478-1557. -- Historia general y natural de las Indias. ; Historians -- America -- Biography. ; Historians -- Spain -- Biography. ; Explorers -- America -- Biography. ; Explorers -- Spain -- Biography. ; America -- Early works to 1800. ; America -- Discovery and exploration -- Historiography.</t>
  </si>
  <si>
    <t>Brazilians Working With Americans : Cultural Case Studies//Brasileiros que Trabalham com Americanos : Estudos de Casos Culturais</t>
  </si>
  <si>
    <t>https://ebookcentral.proquest.com/lib/viva-active/detail.action?docID=3443197</t>
  </si>
  <si>
    <t>Kelm, Orlando R.;Risner, Mary E.</t>
  </si>
  <si>
    <t>Americans -- Employment -- Brazil. ; Business etiquette -- Brazil. ; Business etiquette -- United States. ; Business communication -- Brazil. ; Business communication -- United States. ; Intercultural communication -- Brazil -- Case studies. ; Corporate culture -- Brazil.</t>
  </si>
  <si>
    <t>On the Edge of the Law : Culture, Labor, and Deviance on the South Texas Border</t>
  </si>
  <si>
    <t>https://ebookcentral.proquest.com/lib/viva-active/detail.action?docID=3443198</t>
  </si>
  <si>
    <t>Richardson, Chad;Resendiz, Rosalva</t>
  </si>
  <si>
    <t>Subculture -- Texas. ; Subculture -- Mexican-American Border Region. ; Mexicans -- Texas -- Social conditions. ; Mexicans -- Mexican-American Border Region -- Social conditions. ; Labor -- Texas. ; Labor -- Mexican-American Border Region. ; Crime -- Texas.</t>
  </si>
  <si>
    <t>Latinos and American Law : Landmark Supreme Court Cases</t>
  </si>
  <si>
    <t>https://ebookcentral.proquest.com/lib/viva-active/detail.action?docID=3443200</t>
  </si>
  <si>
    <t>Soltero, Carlos R.</t>
  </si>
  <si>
    <t>United States. -- Supreme Court -- History. ; Hispanic Americans -- Legal status, laws, etc. -- United States -- Cases.</t>
  </si>
  <si>
    <t>Remembering Victoria : A Tragic Nahuat Love Story</t>
  </si>
  <si>
    <t>https://ebookcentral.proquest.com/lib/viva-active/detail.action?docID=3443202</t>
  </si>
  <si>
    <t>Taggart, James M.</t>
  </si>
  <si>
    <t>Nahuas -- Wars -- Mexico -- Huitzilán de Serdán. ; Nahuas -- Violence against -- Mexico -- Huitzilán de Serdán. ; Fratricide -- Mexico -- Huitzilán de Serdán. ; Huitzilán de Serdán (Mexico) -- Social conditions. ; Huitzilán de Serdán (Mexico) -- Moral conditions.</t>
  </si>
  <si>
    <t>Politicas : Latina Public Officials in Texas</t>
  </si>
  <si>
    <t>https://ebookcentral.proquest.com/lib/viva-active/detail.action?docID=3443210</t>
  </si>
  <si>
    <t>García, Sonia R.;Martinez-Ebers, Valerie;Coronado, Irasema</t>
  </si>
  <si>
    <t>Mexican American women politicians -- Texas.</t>
  </si>
  <si>
    <t>Reframing Latin America : A Cultural Theory Reading of the Nineteenth and Twentieth Centuries</t>
  </si>
  <si>
    <t>https://ebookcentral.proquest.com/lib/viva-active/detail.action?docID=3443222</t>
  </si>
  <si>
    <t>Ching, Erik;Buckley, Christina;Lozano-Alonso, Angélica</t>
  </si>
  <si>
    <t>Spanish American literature -- History and criticism. ; Postmodernism. ; Culture. ; Latin America -- Civilization.</t>
  </si>
  <si>
    <t>Shakin' Up Race and Gender : Intercultural Connections in Puerto Rican, African American, and Chicano Narratives and Culture (1965-1995)</t>
  </si>
  <si>
    <t>https://ebookcentral.proquest.com/lib/viva-active/detail.action?docID=3443228</t>
  </si>
  <si>
    <t>Sánchez, Marta E.</t>
  </si>
  <si>
    <t>American literature -- Minority authors -- History and criticism. ; American literature -- 20th century -- History and criticism. ; Puerto Ricans -- United States -- Intellectual life. ; Narration (Rhetoric) -- History -- 20th century. ; African Americans -- Intellectual life. ; Mexican Americans -- Intellectual life. ; African Americans in literature.</t>
  </si>
  <si>
    <t>Fertile Matters : The Politics of Mexican-Origin Women's Reproduction</t>
  </si>
  <si>
    <t>https://ebookcentral.proquest.com/lib/viva-active/detail.action?docID=3443256</t>
  </si>
  <si>
    <t>Gutiérrez, Elena R.</t>
  </si>
  <si>
    <t>Fertility, Human -- United States. ; Mexican Americans -- Population. ; Mexican American women. ; Involuntary sterilization -- United States -- History.</t>
  </si>
  <si>
    <t>Quiet Revolutionaries : Seeking Justice in Guatemala</t>
  </si>
  <si>
    <t>https://ebookcentral.proquest.com/lib/viva-active/detail.action?docID=3443260</t>
  </si>
  <si>
    <t>Afflitto, Frank M.;Jesilow, Paul</t>
  </si>
  <si>
    <t>Disappeared persons -- Guatemala. ; State-sponsored terrorism -- Guatemala. ; Disappeared persons'' families -- Guatemala. ; Disappeared persons'' families -- Guatemala -- Political activity. ; Human rights movements -- Guatemala. ; Guatemala -- History -- Civil War, 1960-1996.</t>
  </si>
  <si>
    <t>Projects : Gang and Non-Gang Families in East Los Angeles</t>
  </si>
  <si>
    <t>https://ebookcentral.proquest.com/lib/viva-active/detail.action?docID=3443268</t>
  </si>
  <si>
    <t>Vigil, James Diego</t>
  </si>
  <si>
    <t>Gangs -- California -- Los Angeles. ; Gang members -- Family relationships -- California -- Los Angeles. ; Poor families -- California -- Los Angeles. ; Public housing -- California -- Los Angeles. ; Pico Gardens (Los Angeles, Calif.) -- Social conditions. ; Los Angeles (Calif.) -- Social conditions.</t>
  </si>
  <si>
    <t>Quality Education for Latinos and Latinas : Print and Oral Skills for All Students, K-College</t>
  </si>
  <si>
    <t>https://ebookcentral.proquest.com/lib/viva-active/detail.action?docID=3443279</t>
  </si>
  <si>
    <t>Portales, Rita;Portales, Marco</t>
  </si>
  <si>
    <t>Latin Americans -- Education -- United States. ; Latin American students -- United States -- Social conditions. ; Multicultural education -- United States.</t>
  </si>
  <si>
    <t>Performing Kinship : Narrative, Gender, and the Intimacies of Power in the Andes</t>
  </si>
  <si>
    <t>https://ebookcentral.proquest.com/lib/viva-active/detail.action?docID=3443284</t>
  </si>
  <si>
    <t>Van Vleet, Krista E.</t>
  </si>
  <si>
    <t>Quechua women -- Bolivia -- Social conditions. ; Kinship -- Bolivia. ; Oral tradition -- Bolivia. ; Bolivia -- Social conditions -- 1982-</t>
  </si>
  <si>
    <t>Cultural Memory : Resistance, Faith and Identity</t>
  </si>
  <si>
    <t>https://ebookcentral.proquest.com/lib/viva-active/detail.action?docID=3443292</t>
  </si>
  <si>
    <t>Rodríguez, Jeanette;Fortier, Ted</t>
  </si>
  <si>
    <t>Social Science; Religion</t>
  </si>
  <si>
    <t>Memory -- Religious aspects -- Christianity -- Case studies. ; Memory -- Religious aspects -- Case studies. ; Memory -- Social aspects -- Case studies. ; Christianity and culture -- Case studies. ; Religion and culture -- Case studies.</t>
  </si>
  <si>
    <t>Monkey Business Theatre</t>
  </si>
  <si>
    <t>https://ebookcentral.proquest.com/lib/viva-active/detail.action?docID=3443301</t>
  </si>
  <si>
    <t>Laughlin, Robert M.;Sna Jtz'ibajom</t>
  </si>
  <si>
    <t>Literature; Language/Linguistics</t>
  </si>
  <si>
    <t>Teatro Lo''il Maxil. ; Tzotzil drama. ; Tzeltal drama. ; Puppet theater -- Mexico. ; Mexican drama.</t>
  </si>
  <si>
    <t>Women and Power in Argentine Literature : Stories, Interviews, and Critical Essays</t>
  </si>
  <si>
    <t>https://ebookcentral.proquest.com/lib/viva-active/detail.action?docID=3443305</t>
  </si>
  <si>
    <t>Díaz, Gwendolyn</t>
  </si>
  <si>
    <t>Argentine literature -- Women authors -- History and criticism. ; Argentine literature -- Women authors. ; Women authors, Argentine -- 20th century -- Interviews. ; Authors, Argentine -- 20th century -- Interviews. ; Women and literature -- Argentina.</t>
  </si>
  <si>
    <t>Fifty Years of Change on the U. S. -Mexico Border : Growth, Development, and Quality of Life</t>
  </si>
  <si>
    <t>https://ebookcentral.proquest.com/lib/viva-active/detail.action?docID=3443319</t>
  </si>
  <si>
    <t>Anderson, Joan B.;Gerber, James</t>
  </si>
  <si>
    <t>Labor supply -- Mexican-American Border Region. ; Migrant labor -- Mexican-American Border Region. ; Industrial clusters -- Mexican-American Border Region. ; Mexican-American Border Region -- Economic conditions. ; Mexican-American Border Region -- Social conditions. ; United States -- Commerce -- Mexico. ; Mexico -- Commerce -- United States.</t>
  </si>
  <si>
    <t>Resisting Brazil's Military Regime : An Account of the Battles of Sobral Pinto</t>
  </si>
  <si>
    <t>https://ebookcentral.proquest.com/lib/viva-active/detail.action?docID=3443320</t>
  </si>
  <si>
    <t>Dulles, John W. F.</t>
  </si>
  <si>
    <t>Pinto, Heráclito Sobral, -- 1893-1991. ; Lawyers -- Brazil. ; Brazil -- Politics and government -- 20th century.</t>
  </si>
  <si>
    <t>Drugs, Thugs, and Divas : Telenovelas and Narco-Dramas in Latin America</t>
  </si>
  <si>
    <t>https://ebookcentral.proquest.com/lib/viva-active/detail.action?docID=3443324</t>
  </si>
  <si>
    <t>Benavides, O. Hugo</t>
  </si>
  <si>
    <t>Drugs in motion pictures. ; Motion pictures -- Latin America. ; Television soap operas -- Latin America.</t>
  </si>
  <si>
    <t>Palace Politics : How the Ruling Party Brought Crisis to Mexico</t>
  </si>
  <si>
    <t>https://ebookcentral.proquest.com/lib/viva-active/detail.action?docID=3443325</t>
  </si>
  <si>
    <t>Schlefer, Jonathan</t>
  </si>
  <si>
    <t>Partido Revolucionario Institucional -- History -- 20th century. ; Elite (Social sciences) -- Mexico -- History -- 20th century. ; Mexico -- Economic conditions -- 20th century. ; Mexico -- Politics and government -- 20th century.</t>
  </si>
  <si>
    <t>Globalization in Rural Mexico : Three Decades of Change</t>
  </si>
  <si>
    <t>https://ebookcentral.proquest.com/lib/viva-active/detail.action?docID=3443326</t>
  </si>
  <si>
    <t>Rothstein, Frances Abrahamer</t>
  </si>
  <si>
    <t>Clothing trade -- Mexico -- Mazatecochco. ; Globalization -- Mexico -- Mazatecochco. ; Mazatecochco (Mexico) -- Economic conditions. ; Mazatecochco (Mexico) -- Social conditions.</t>
  </si>
  <si>
    <t>Chicanas and Chicanos in School : Racial Profiling, Identity Battles, and Empowerment</t>
  </si>
  <si>
    <t>https://ebookcentral.proquest.com/lib/viva-active/detail.action?docID=3443330</t>
  </si>
  <si>
    <t>Pizarro, Marcos</t>
  </si>
  <si>
    <t>Mexican American youth -- Education -- Social aspects -- California -- Los Angeles -- Case studies. ; Mexican American youth -- Education -- Social aspects -- Washington (State) -- Case studies. ; Mexican Americans -- Ethnic identity -- California -- Los Angeles -- Case studies. ; Mexican Americans -- Ethnic identity -- Washington (State) -- Case studies. ; Discrimination in education -- California -- Los Angeles -- Case studies. ; Discrimination in education -- Washington (State) -- Case studies.</t>
  </si>
  <si>
    <t>Católicos : Resistance and Affirmation in Chicano Catholic History</t>
  </si>
  <si>
    <t>https://ebookcentral.proquest.com/lib/viva-active/detail.action?docID=3443344</t>
  </si>
  <si>
    <t>García, Mario T.</t>
  </si>
  <si>
    <t>Mexican American Catholics -- History -- 20th century. ; Mexican Americans -- Religion. ; Mexican Americans -- History -- 20th century.</t>
  </si>
  <si>
    <t>Walls of Empowerment : Chicana/o Indigenist Murals of California</t>
  </si>
  <si>
    <t>https://ebookcentral.proquest.com/lib/viva-active/detail.action?docID=3443350</t>
  </si>
  <si>
    <t>Latorre, Guisela</t>
  </si>
  <si>
    <t>Mexican American mural painting and decoration -- Political aspects -- California, Southern -- 20th century. ; Street art -- California, Southern. ; Indians in art.</t>
  </si>
  <si>
    <t>Guns, Drugs, and Development in Colombia</t>
  </si>
  <si>
    <t>https://ebookcentral.proquest.com/lib/viva-active/detail.action?docID=3443354</t>
  </si>
  <si>
    <t>Holmes, Jennifer;Gutiérrez de Piñeres, Sheila Amin;Curtin, Kevin M.</t>
  </si>
  <si>
    <t>Political violence -- Colombia. ; Cocaine industry -- Colombia. ; Colombia -- Economic conditions -- 1970-</t>
  </si>
  <si>
    <t>Blood Lines : Myth, Indigenism and Chicana/o Literature</t>
  </si>
  <si>
    <t>https://ebookcentral.proquest.com/lib/viva-active/detail.action?docID=3443355</t>
  </si>
  <si>
    <t>Contreras, Sheila Marie</t>
  </si>
  <si>
    <t>Cervantes, Lorna Dee -- Criticism and interpretation. ; Anzaldúa, Gloria -- Criticism and interpretation. ; Alurista -- Criticism and interpretation. ; Villanueva, Alma, -- 1944- -- Criticism and interpretation. ; American literature -- Mexican American authors -- History and criticism. ; Literature and myth. ; Mexican Americans in literature.</t>
  </si>
  <si>
    <t>Tira de Tepechpan : Negotiating Place under Aztec and Spanish Rule</t>
  </si>
  <si>
    <t>https://ebookcentral.proquest.com/lib/viva-active/detail.action?docID=3443359</t>
  </si>
  <si>
    <t>Diel, Lori Boornazian</t>
  </si>
  <si>
    <t>Tira de Tepechpan. ; Aztecs -- Mexico -- Tepexpan -- History -- Chronology. ; Aztec art -- Mexico -- Tepexpan. ; Aztecs -- First contact with Europeans. ; Tepexpan (Mexico) -- History -- Chronology. ; Mexico -- History -- To 1810. ; Mexico -- History -- Spanish colony, 1540-1810.</t>
  </si>
  <si>
    <t>Hijos del Pueblo : Gender, Family, and Community in Rural Mexico, 1730-1850</t>
  </si>
  <si>
    <t>https://ebookcentral.proquest.com/lib/viva-active/detail.action?docID=3443365</t>
  </si>
  <si>
    <t>Kanter, Deborah</t>
  </si>
  <si>
    <t>Indians of Mexico -- Mexico -- Toluca de Lerdo Region -- Social conditions. ; Kinship -- Mexico -- Toluca de Lerdo Region. ; Sex role -- Mexico -- Toluca de Lerdo Region. ; Families -- Mexico -- Toluca de Lerdo Region. ; Toluca de Lerdo Region (Mexico) -- Social conditions.</t>
  </si>
  <si>
    <t>Gabriel Garcia Moreno and Conservative State Formation in the Andes</t>
  </si>
  <si>
    <t>https://ebookcentral.proquest.com/lib/viva-active/detail.action?docID=3443368</t>
  </si>
  <si>
    <t>Henderson, Peter V.N.</t>
  </si>
  <si>
    <t>García Moreno, Gabriel, -- 1821-1875. ; Presidents -- Ecuador -- Biography. ; Ecuador -- History -- 1830-1895.</t>
  </si>
  <si>
    <t>Toward a Latina Feminism of the Americas : Repression and Resistance in Chicana and Mexicana Literature</t>
  </si>
  <si>
    <t>https://ebookcentral.proquest.com/lib/viva-active/detail.action?docID=3443369</t>
  </si>
  <si>
    <t>Sandoval, Anna Marie</t>
  </si>
  <si>
    <t>American literature -- Mexican American authors -- History and criticism. ; American literature -- Women authors -- History and criticism. ; Mexican literature -- Women authors -- History and criticism. ; Feminism in literature. ; Women in literature. ; Comparative literature -- American and Mexican. ; Comparative literature -- Mexican and American.</t>
  </si>
  <si>
    <t>Border Bandits : Hollywood on the Southern Frontier</t>
  </si>
  <si>
    <t>https://ebookcentral.proquest.com/lib/viva-active/detail.action?docID=3443373</t>
  </si>
  <si>
    <t>Fojas, Camilla</t>
  </si>
  <si>
    <t>Motion pictures -- United States. ; Mexican-American Border Region -- In motion pictures.</t>
  </si>
  <si>
    <t>Kitchenspace : Women, Fiestas, and Everyday Life in Central Mexico</t>
  </si>
  <si>
    <t>https://ebookcentral.proquest.com/lib/viva-active/detail.action?docID=3443376</t>
  </si>
  <si>
    <t xml:space="preserve">Christie, Maria Elisa;Weismantel, Mary </t>
  </si>
  <si>
    <t>Fasts and feasts -- Mexico. ; Kitchens -- Mexico. ; Social networks -- Mexico. ; Women -- Mexico -- Social conditions. ; Mexico -- Social life and customs.</t>
  </si>
  <si>
    <t>Fragmented Lives, Assembled Parts</t>
  </si>
  <si>
    <t>https://ebookcentral.proquest.com/lib/viva-active/detail.action?docID=3443381</t>
  </si>
  <si>
    <t>Lugo, Alejandro</t>
  </si>
  <si>
    <t>Offshore assembly industry -- Employees -- Mexico -- Ciudad Juárez. ; Ciudad Juárez (Mexico) -- Social conditions.</t>
  </si>
  <si>
    <t>For Glory and Bolívar : The Remarkable Life of Manuela Saenz</t>
  </si>
  <si>
    <t>https://ebookcentral.proquest.com/lib/viva-active/detail.action?docID=3443385</t>
  </si>
  <si>
    <t>Murray, Pamela</t>
  </si>
  <si>
    <t>Sáenz, Manuela, -- 1797?-1856. ; Bolívar, Simón, -- 1783-1830 -- Relations with women. ; Mistresses -- Ecuador -- Biography. ; South America -- History -- Wars of Independence, 1806-1830 -- Biography.</t>
  </si>
  <si>
    <t>Sex Work and the City : The Social Geography of Health and Safety in Tijuana, Mexico</t>
  </si>
  <si>
    <t>https://ebookcentral.proquest.com/lib/viva-active/detail.action?docID=3443392</t>
  </si>
  <si>
    <t>Katsulis, Yasmina</t>
  </si>
  <si>
    <t>Prostitution -- Mexico -- Tijuana (Baja California) ; Prostitutes -- Mexico -- Tijuana (Baja California)</t>
  </si>
  <si>
    <t>Temples of the Earthbound Gods : Stadiums in the Cultural Landscapes of Rio de Janeiro and Buenos Aires</t>
  </si>
  <si>
    <t>https://ebookcentral.proquest.com/lib/viva-active/detail.action?docID=3443393</t>
  </si>
  <si>
    <t>Gaffney, Christopher Thomas</t>
  </si>
  <si>
    <t>Architecture; Sport &amp;amp; Recreation</t>
  </si>
  <si>
    <t>Stadiums -- Social aspects -- Brazil -- Rio de Janeiro. ; Stadiums -- Social aspects -- Argentina -- Buenos Aires.</t>
  </si>
  <si>
    <t>Dividing the Isthmus : Central American Transnational Histories, Literatures, and Cultures</t>
  </si>
  <si>
    <t>https://ebookcentral.proquest.com/lib/viva-active/detail.action?docID=3443396</t>
  </si>
  <si>
    <t>Rodríguez, Ana Patricia</t>
  </si>
  <si>
    <t>Central American literature -- 20th century -- History and criticism. ; Central America -- History. ; Central America -- Civilization.</t>
  </si>
  <si>
    <t>Master Showmen of King Ranch : The Story of Beto and Librado Maldonado</t>
  </si>
  <si>
    <t>https://ebookcentral.proquest.com/lib/viva-active/detail.action?docID=3443400</t>
  </si>
  <si>
    <t>Colley, Betty Bailey;Monday, Jane Clements;Kleberg, Stephen J.</t>
  </si>
  <si>
    <t>Maldonado, Librado. ; Maldonado, Beto. ; Mexican American cowboys -- Texas -- Biography. ; Mexican American families -- Texas. ; Ranch life -- Texas -- Biography. ; King Ranch (Tex.)</t>
  </si>
  <si>
    <t>Healing Dramas : Divination and Magic in Modern Puerto Rico</t>
  </si>
  <si>
    <t>https://ebookcentral.proquest.com/lib/viva-active/detail.action?docID=3443403</t>
  </si>
  <si>
    <t>Romberg, Raquel</t>
  </si>
  <si>
    <t>Magic -- Puerto Rico. ; Divination -- Puerto Rico. ; Medicine, Magic, mystic, and spagiric -- Puerto Rico.</t>
  </si>
  <si>
    <t>Your Brain on Latino Comics : From Gus Arriola to Los Bros Hernandez</t>
  </si>
  <si>
    <t>https://ebookcentral.proquest.com/lib/viva-active/detail.action?docID=3443404</t>
  </si>
  <si>
    <t>Comic books, strips, etc. -- United States -- History and criticism. ; Hispanic Americans -- Comic books, strips, etc. ; Hispanic Americans in literature.</t>
  </si>
  <si>
    <t>Social Stratification in Central Mexico, 1500-2000</t>
  </si>
  <si>
    <t>https://ebookcentral.proquest.com/lib/viva-active/detail.action?docID=3443408</t>
  </si>
  <si>
    <t>Nutini, Hugo G.;Isaac, Barry L.</t>
  </si>
  <si>
    <t>Social stratification -- Mexico -- History. ; Mexico -- Social conditions.</t>
  </si>
  <si>
    <t>Blockading the Border and Human Rights : The El Paso Operation That Remade Immigration Enforcement</t>
  </si>
  <si>
    <t>https://ebookcentral.proquest.com/lib/viva-active/detail.action?docID=3443409</t>
  </si>
  <si>
    <t>Dunn, Timothy J.</t>
  </si>
  <si>
    <t>U.S. Border Patrol. ; El Paso (Tex.) -- Emigration and immigration. ; El Paso (Tex.) -- Emigration and immigration -- Government policy. ; El Paso (Tex.) -- Emigration and immigration -- Social aspects. ; Mexico -- Emigration and immigration -- Social aspects.</t>
  </si>
  <si>
    <t>Postnationalism in Chicana/o Literature and Culture</t>
  </si>
  <si>
    <t>https://ebookcentral.proquest.com/lib/viva-active/detail.action?docID=3443410</t>
  </si>
  <si>
    <t>Hernández, Ellie D.</t>
  </si>
  <si>
    <t>American literature -- Mexican American authors -- History and criticism. ; Politics and literature -- United States. ; Mexican Americans -- Ethnic identity. ; Nationalism and literature -- United States. ; Group identity -- United States. ; Homosexuality and literature -- United States. ; Mexican American gays -- Intellectual life.</t>
  </si>
  <si>
    <t>Private Women, Public Lives : Gender and the Missions of the Californias</t>
  </si>
  <si>
    <t>https://ebookcentral.proquest.com/lib/viva-active/detail.action?docID=3443420</t>
  </si>
  <si>
    <t>Reyes, Bárbara O.</t>
  </si>
  <si>
    <t>Catholic Church -- Missions -- Mexico -- Baja California (Peninsula) -- History -- 18th century. ; Catholic Church -- Missions -- Mexico -- Baja California (Peninsula) -- History -- 19th century. ; Catholic Church -- Missions -- California -- History -- 18th century. ; Catholic Church -- Missions -- California -- History -- 19th century. ; Women -- Mexico -- Baja California (Peninsula) -- Social conditions -- 18th century. ; Women -- Mexico -- Baja California (Peninsula) -- Social conditions -- 19th century. ; Women -- California -- Social conditions -- 18th century.</t>
  </si>
  <si>
    <t>User's Guide to Postcolonial and Latino Borderland Fiction</t>
  </si>
  <si>
    <t>https://ebookcentral.proquest.com/lib/viva-active/detail.action?docID=3443424</t>
  </si>
  <si>
    <t>American fiction -- Mexican American authors -- History and criticism. ; Commonwealth fiction (English) -- History and criticism. ; English fiction -- Minority authors -- History and criticism. ; Postcolonialism in literature. ; Fiction -- History and criticism -- Theory, etc. ; Narration (Rhetoric)</t>
  </si>
  <si>
    <t>Other Side of the Fence : American Migrants in Mexico</t>
  </si>
  <si>
    <t>https://ebookcentral.proquest.com/lib/viva-active/detail.action?docID=3443425</t>
  </si>
  <si>
    <t>Croucher, Sheila</t>
  </si>
  <si>
    <t>Americans -- Mexico -- Case studies. ; Immigrants -- Mexico -- Case studies. ; Transnationalism -- Case studies. ; Mexico -- Emigration and immigration -- Case studies. ; United States -- Emigration and immigration -- Case studies.</t>
  </si>
  <si>
    <t>On Art, Artists, Latin America, and Other Utopias</t>
  </si>
  <si>
    <t>https://ebookcentral.proquest.com/lib/viva-active/detail.action?docID=3443426</t>
  </si>
  <si>
    <t>Camnitzer, Luis;Weiss, Rachel</t>
  </si>
  <si>
    <t>Joe R. and Teresa Lozano Long Series in Latin American and Latino Art and Culture</t>
  </si>
  <si>
    <t>Art, Modern -- 20th century. ; Art, Latin American -- 20th century.</t>
  </si>
  <si>
    <t>Drug War Zone : Frontline Dispatches from the Streets of el Paso and Juárez</t>
  </si>
  <si>
    <t>https://ebookcentral.proquest.com/lib/viva-active/detail.action?docID=3443427</t>
  </si>
  <si>
    <t>Campbell, Howard</t>
  </si>
  <si>
    <t>William and Bettye Nowlin Series in Art, History, and Culture of the Western Hemisphere</t>
  </si>
  <si>
    <t>Drug traffic -- Mexican-American Border Region -- Case studies. ; Drug control -- Mexican-American Border Region -- Case studies. ; Drug traffic -- Social aspects -- Texas -- El Paso -- Case studies. ; Drug traffic -- Social aspects -- Mexico -- Ciudad Juárez -- Case studies.</t>
  </si>
  <si>
    <t>Border Renaissance : The Texas Centennial and the Emergence of Mexican American Literature</t>
  </si>
  <si>
    <t>https://ebookcentral.proquest.com/lib/viva-active/detail.action?docID=3443437</t>
  </si>
  <si>
    <t>González, John Morán</t>
  </si>
  <si>
    <t>CMAS History, Culture, and Society Series</t>
  </si>
  <si>
    <t>American literature -- Mexican American authors -- History and criticism. ; Mexican Americans in literature. ; Race in literature. ; Mexican Americans -- Intellectual life -- 20th century. ; Literature and history -- Texas. ; Texas -- In literature. ; Texas -- Centennial celebrations, etc.</t>
  </si>
  <si>
    <t>Tortilla Is Like Life : Food and Culture in the San Luis Valley of Colorado</t>
  </si>
  <si>
    <t>https://ebookcentral.proquest.com/lib/viva-active/detail.action?docID=3443438</t>
  </si>
  <si>
    <t>Counihan, Carole M.</t>
  </si>
  <si>
    <t>Book Twenty-One, Louann Atkins Temple Women and Culture Series</t>
  </si>
  <si>
    <t>Food habits -- Colorado -- Antonito -- History. ; Food -- Symbolic aspects -- Colorado -- Antonito. ; Hispanic Americans -- Food -- Colorado -- Antonito. ; Hispanic Americans -- Colorado -- Antonito -- Ethnic identity. ; Hispanic Americans -- Land tenure -- Colorado -- Antonito. ; Hispanic American women -- Colorado -- Antonito -- Social conditions. ; Antonito (Colo.) -- History.</t>
  </si>
  <si>
    <t>No Mexicans, Women, or Dogs Allowed : The Rise of the Mexican American Civil Rights Movement</t>
  </si>
  <si>
    <t>https://ebookcentral.proquest.com/lib/viva-active/detail.action?docID=3443439</t>
  </si>
  <si>
    <t>Orozco, Cynthia E.</t>
  </si>
  <si>
    <t>League of United Latin American Citizens -- History. ; Order of Sons of America -- History. ; Mexican Americans -- Civil rights -- History -- 20th century. ; Civil rights movements -- United States -- History -- 20th century. ; Mexican Americans -- Civil rights -- Texas -- History -- 20th century. ; Civil rights movements -- Texas -- History -- 20th century. ; Mexican Americans -- Texas -- Social conditions -- 20th century.</t>
  </si>
  <si>
    <t>Imaginary Lines : Border Enforcement and the Origins of Undocumented Immigration, 1882-1930</t>
  </si>
  <si>
    <t>https://ebookcentral.proquest.com/lib/viva-active/detail.action?docID=3443440</t>
  </si>
  <si>
    <t>Ettinger, Patrick</t>
  </si>
  <si>
    <t>Immigration enforcement -- United States -- History -- 19th century. ; Illegal aliens -- United States -- History -- 19th century. ; Illegal aliens -- Government policy -- United States. ; United States -- Emigration and immigration -- History -- 19th century. ; United States -- Emigration and immigration -- Government policy. ; Mexico -- Emigration and immigration -- History -- 19th century. ; Mexican-American Border Region -- Emigration and immigration -- History -- 19th century.</t>
  </si>
  <si>
    <t>Invention of the Jewish Gaucho : Villa Clara and the Construction of Argentine Identity</t>
  </si>
  <si>
    <t>https://ebookcentral.proquest.com/lib/viva-active/detail.action?docID=3443442</t>
  </si>
  <si>
    <t>Freidenberg, Judith Noemí</t>
  </si>
  <si>
    <t>Jewish History, Life, and Culture Series</t>
  </si>
  <si>
    <t>Jews -- Argentina -- Clara -- History. ; Gauchos -- Argentina -- Clara -- History. ; Oral history -- Argentina -- Clara. ; Jews -- Argentina -- Clara -- Identity. ; National characteristics, Argentine -- History. ; Europe, Eastern -- Emigration and immigration -- History. ; Argentina -- Emigration and immigration -- History.</t>
  </si>
  <si>
    <t>Beyond the Latino World War II Hero : The Social and Political Legacy of a Generation</t>
  </si>
  <si>
    <t>https://ebookcentral.proquest.com/lib/viva-active/detail.action?docID=3443443</t>
  </si>
  <si>
    <t>Rivas-Rodríguez, Maggie;Zamora, Emilio</t>
  </si>
  <si>
    <t>World War, 1939-1945 -- Participation, Hispanic American. ; World War, 1939-1945 -- Personal narratives, American. ; Hispanic Americans -- Social conditions -- 20th century. ; Hispanic American women -- Social conditions -- 20th century. ; United States -- Armed Forces -- Hispanic Americans.</t>
  </si>
  <si>
    <t>Spanish Texas, 1519-1821</t>
  </si>
  <si>
    <t>https://ebookcentral.proquest.com/lib/viva-active/detail.action?docID=3443447</t>
  </si>
  <si>
    <t>Chipman, Donald E.;Joseph, Harriett Denise</t>
  </si>
  <si>
    <t>Clifton and Shirley Caldwell Texas Heritage Series</t>
  </si>
  <si>
    <t>Spaniards -- Texas -- History. ; Texas -- History -- To 1846.</t>
  </si>
  <si>
    <t>Love and Politics in the Contemporary Spanish American Novel</t>
  </si>
  <si>
    <t>https://ebookcentral.proquest.com/lib/viva-active/detail.action?docID=3443448</t>
  </si>
  <si>
    <t>González, Aníbal</t>
  </si>
  <si>
    <t>Spanish American fiction -- 20th century -- History and criticism. ; Sentimentalism in literature. ; Politics and literature.</t>
  </si>
  <si>
    <t>Pinta : Chicana/o Prisoner Literature, Culture, and Politics</t>
  </si>
  <si>
    <t>https://ebookcentral.proquest.com/lib/viva-active/detail.action?docID=3443449</t>
  </si>
  <si>
    <t>Olguín, B. V.</t>
  </si>
  <si>
    <t>Mexican American prisoners. ; Mexican American prisoners -- Political activity. ; Prisoners -- Civil rights -- United States. ; Mexican Americans in popular culture -- United States. ; Prisoners in popular culture -- United States.</t>
  </si>
  <si>
    <t>El Lector : A History of the Cigar Factory Reader</t>
  </si>
  <si>
    <t>https://ebookcentral.proquest.com/lib/viva-active/detail.action?docID=3443451</t>
  </si>
  <si>
    <t>Tinajero, Araceli;Grasberg, Judith E.</t>
  </si>
  <si>
    <t>Oral reading. ; Tobacco industry -- Cuba -- History. ; Tobacco workers -- Cuba -- History. ; Tobacco industry -- Puerto Rico -- History. ; Tobacco workers -- Puerto Rico -- History. ; Tobacco industry -- United States -- History. ; Tobacco workers -- United States -- History.</t>
  </si>
  <si>
    <t>Constructing the Image of the Mexican Revolution : Cinema and the Archive</t>
  </si>
  <si>
    <t>https://ebookcentral.proquest.com/lib/viva-active/detail.action?docID=3443455</t>
  </si>
  <si>
    <t>Pick, Zuzana M.</t>
  </si>
  <si>
    <t>War films -- Mexico -- History and criticism. ; Mexico -- History -- Revolution, 1910-1920 -- Motion pictures and the revolution.</t>
  </si>
  <si>
    <t>Gringa in Bogotá : Living Colombia's Invisible War</t>
  </si>
  <si>
    <t>https://ebookcentral.proquest.com/lib/viva-active/detail.action?docID=3443460</t>
  </si>
  <si>
    <t>Erlick, June Carolyn</t>
  </si>
  <si>
    <t>Erlick, June Carolyn -- Travel -- Colombia -- Bogotá. ; Americans -- Colombia -- Bogotá. ; Bogotá (Colombia) -- Description and travel. ; Bototá (Colombia) -- Social conditions.</t>
  </si>
  <si>
    <t>Reading Chican@ Like a Queer : The De-Mastery of Desire</t>
  </si>
  <si>
    <t>https://ebookcentral.proquest.com/lib/viva-active/detail.action?docID=3443462</t>
  </si>
  <si>
    <t>Soto, Sandra K.</t>
  </si>
  <si>
    <t>American literature -- Mexican American authors -- History and criticism. ; Desire in literature. ; Sex in literature. ; Race in literature. ; Mexican Americans in literature. ; Mexican Americans -- Race identity.</t>
  </si>
  <si>
    <t>In the Palace of Nezahualcoyotl : Painting Manuscripts, Writing the Pre-Hispanic Past in Early Colonial Period Tetzcoco, Mexico</t>
  </si>
  <si>
    <t>https://ebookcentral.proquest.com/lib/viva-active/detail.action?docID=3443472</t>
  </si>
  <si>
    <t>Douglas, Eduardo de J.</t>
  </si>
  <si>
    <t>Nezahualcóyotl, -- King of Texcoco, -- 1402-1472 -- Homes and haunts -- Mexico -- Texcoco de Mora. ; Codex Xolotl. ; Mapa Quinatzin. ; Mapa Tlohtzin. ; Manuscripts, Nahuatl -- Mexico -- Texcoco de Mora. ; Aztec art -- Mexico -- Texcoco de Mora. ; Aztecs -- Mexico -- Texcoco de Mora -- History -- Sources.</t>
  </si>
  <si>
    <t>Escaping the Fire : How an Ixil Mayan Pastor Led His People Out of a Holocaust During the Guatemalan Civil War</t>
  </si>
  <si>
    <t>https://ebookcentral.proquest.com/lib/viva-active/detail.action?docID=3443476</t>
  </si>
  <si>
    <t xml:space="preserve">Guzaro, Tomás;McComb, Terri Jacob;McComb, Terri Jacob ;Guzaro, Tom </t>
  </si>
  <si>
    <t>Guzaro, Tomás. ; Guerrillas -- Guatemala -- History -- 20th century. ; Guerrilla warfare -- Guatemala -- History -- 20th century. ; Ixil Indians -- Biography. ; Clergy -- Guatemala -- Biography. ; Religious leaders -- Guatemala -- Biography. ; Evangelicalism -- Guatemala -- Biography.</t>
  </si>
  <si>
    <t>Reinventing Practice in a Disenchanted World : Bourdieu and Urban Poverty in Oaxaca, Mexico</t>
  </si>
  <si>
    <t>https://ebookcentral.proquest.com/lib/viva-active/detail.action?docID=3443478</t>
  </si>
  <si>
    <t>Mahar, Cheleen Ann-Catherine</t>
  </si>
  <si>
    <t>Bourdieu, Pierre, -- 1930-2002. ; Urban poor -- Mexico -- Oaxaca (State) -- Case studies. ; Sociology -- Methodology. ; Oaxaca (Mexico : State) -- Social conditions -- Case studies.</t>
  </si>
  <si>
    <t>Literatures of the U.S.- Mexican War : Narrative, Time, and Identity</t>
  </si>
  <si>
    <t>https://ebookcentral.proquest.com/lib/viva-active/detail.action?docID=3443479</t>
  </si>
  <si>
    <t xml:space="preserve">Rodríguez, Jaime Javier;Rodriuguez, Jaime Javier </t>
  </si>
  <si>
    <t>American literature -- 1783-1850 -- History and criticism. ; Identity (Philosophical concept) in literature. ; Mexican Americans in literature. ; Mexican literature -- 19th century -- History and criticism. ; Mexican War, 1846-1848 -- Influence. ; Mexican War, 1846-1848 -- Literature and the war.</t>
  </si>
  <si>
    <t>Mexican Women and the Other Side of Immigration : Engendering Transnational Ties</t>
  </si>
  <si>
    <t>https://ebookcentral.proquest.com/lib/viva-active/detail.action?docID=3443489</t>
  </si>
  <si>
    <t>Gordillo, Luz María</t>
  </si>
  <si>
    <t>Mexican American women -- Michigan -- Detroit -- Social conditions -- 20th century. ; Mexican American women -- Michigan -- Detroit -- Ethnic identity. ; Mexican American women -- Cultural assimilation -- Michigan -- Detroit. ; Immigrants -- Michigan -- Detroit -- Social conditions -- 20th century. ; Women -- Mexico -- San Ignacio (Jalisco) -- Social conditions -- 20th century. ; Women -- Mexico -- San Ignacio (Jalisco) -- Identity. ; Transnationalism.</t>
  </si>
  <si>
    <t>Performing Mexicanidad : Vendidas y Cabareteras on the Transnational Stage</t>
  </si>
  <si>
    <t>https://ebookcentral.proquest.com/lib/viva-active/detail.action?docID=3443491</t>
  </si>
  <si>
    <t>Gutiérrez, Laura G.</t>
  </si>
  <si>
    <t>Fine Arts; Social Science; Literature</t>
  </si>
  <si>
    <t>Sex in the performing arts -- Mexico. ; Lesbians in the performing arts -- Mexico. ; Music-halls (Variety-theaters, cabarets, etc.) -- Social aspects -- Mexico. ; Women entertainers -- Mexico. ; Women performance artists -- Mexico.</t>
  </si>
  <si>
    <t>Seduction of Brazil : The Americanization of Brazil During World War II</t>
  </si>
  <si>
    <t>https://ebookcentral.proquest.com/lib/viva-active/detail.action?docID=3443492</t>
  </si>
  <si>
    <t xml:space="preserve">Tota, Antonio Pedro;Tota Antoenio Pedro Greenberg Daniel Joseph Teresa Lozano Long Institute of Latin Am, ;Ellis, Lorena B ;Greenberg Daniel, J </t>
  </si>
  <si>
    <t>Popular culture -- Brazil. ; Popular culture -- United States. ; Brazil -- Civilization -- American influences. ; Brazil -- History -- 1930-1945. ; United States -- Relations -- Brazil. ; Brazil -- Relations -- United States. ; Brazil -- In mass media.</t>
  </si>
  <si>
    <t>Quixote's Soldiers : A Local History of the Chicano Movement, 1966-1981</t>
  </si>
  <si>
    <t>https://ebookcentral.proquest.com/lib/viva-active/detail.action?docID=3443493</t>
  </si>
  <si>
    <t>Montejano, David</t>
  </si>
  <si>
    <t>Mexican Americans -- Texas -- San Antonio -- History -- 20th century. ; Mexican Americans -- Texas -- San Antonio -- Politics and government -- 20th century. ; Chicano movement -- Texas -- San Antonio. ; San Antonio (Tex.) -- Race relations -- History -- 20th century. ; San Antonio (Tex.) -- Politics and government -- 20th century.</t>
  </si>
  <si>
    <t>Broadcasting the Civil War in El Salvador : A Memoir of Guerrilla Radio</t>
  </si>
  <si>
    <t>https://ebookcentral.proquest.com/lib/viva-active/detail.action?docID=3443494</t>
  </si>
  <si>
    <t xml:space="preserve">Consalvi, Carlos Henríquez;Nagle, Charles;Prince, A. L.;Prince, A L (Bill) ;Ching, Erik </t>
  </si>
  <si>
    <t>Radio Venceremos (El Salvador) -- History. ; Radio broadcasting -- El Salvador -- History -- 20th century. ; Guerrillas -- El Salvador. ; El Salvador -- History -- 1979-1992.</t>
  </si>
  <si>
    <t>Afro-Mexico : Dancing between Myth and Reality</t>
  </si>
  <si>
    <t>https://ebookcentral.proquest.com/lib/viva-active/detail.action?docID=3443510</t>
  </si>
  <si>
    <t xml:space="preserve">González, Anita;Jackson, George O.;Pellicer, José Manuel;Vinson, Professor Ben </t>
  </si>
  <si>
    <t>Dance -- Mexico -- African influences. ; Blacks -- Mexico. ; National characteristics, Mexican. ; Mexico -- Civilization -- African influences.</t>
  </si>
  <si>
    <t>Cuban Youth and Revolutionary Values : Educating the New Socialist Citizen</t>
  </si>
  <si>
    <t>https://ebookcentral.proquest.com/lib/viva-active/detail.action?docID=3443525</t>
  </si>
  <si>
    <t>Blum, Denise F.</t>
  </si>
  <si>
    <t>Education -- Cuba -- History. ; Education -- Cuba -- Evaluation. ; Education -- Curricula -- Cuba.</t>
  </si>
  <si>
    <t>What Is la Hispanidad? : A Conversation</t>
  </si>
  <si>
    <t>https://ebookcentral.proquest.com/lib/viva-active/detail.action?docID=3443533</t>
  </si>
  <si>
    <t>Stavans, Ilan;Jaksic, Iván</t>
  </si>
  <si>
    <t>Civilization, Hispanic. ; Pan-Hispanism.</t>
  </si>
  <si>
    <t>Account of the Fables and Rites of the Incas</t>
  </si>
  <si>
    <t>https://ebookcentral.proquest.com/lib/viva-active/detail.action?docID=3443536</t>
  </si>
  <si>
    <t xml:space="preserve">Molina, Cristóbal de;Bauer, Brian S.;Smith-Oka, Vania;Smith-Oka, Vania ;Cantarutti, Gabriel E ;Bauer, Brian S ;Smith-Oka, Vania </t>
  </si>
  <si>
    <t>Inca mythology. ; Peru -- History -- Conquest, 1522-1548.</t>
  </si>
  <si>
    <t>Naturalizing Mexican Immigrants : A Texas History</t>
  </si>
  <si>
    <t>https://ebookcentral.proquest.com/lib/viva-active/detail.action?docID=3443538</t>
  </si>
  <si>
    <t>Menchaca, Martha</t>
  </si>
  <si>
    <t>Mexican Americans -- Government policy -- Texas -- History. ; Mexican Americans -- Legal status, laws, etc. -- Texas -- History. ; Immigrants -- Texas -- History. ; Naturalization -- Texas -- History. ; Citizenship -- Texas -- History. ; Naturalization records -- Texas. ; United States -- Emigration and immigration -- History.</t>
  </si>
  <si>
    <t>Adventures of a Cello</t>
  </si>
  <si>
    <t>https://ebookcentral.proquest.com/lib/viva-active/detail.action?docID=3443539</t>
  </si>
  <si>
    <t>Prieto, Carlos;Murray, Elena C.;Mutis, Álvaro</t>
  </si>
  <si>
    <t>Prieto, Carlos, -- 1937- ; Violoncello -- History. ; Violin -- History.</t>
  </si>
  <si>
    <t>Misfortunes of Alonso Ramírez : The True Adventures of a Spanish American with 17th-Century Pirates</t>
  </si>
  <si>
    <t>https://ebookcentral.proquest.com/lib/viva-active/detail.action?docID=3443543</t>
  </si>
  <si>
    <t xml:space="preserve">Lázaro, Fabio López;Lopez-Lazaro, Fabio T </t>
  </si>
  <si>
    <t>Ramírez, Alonso, -- 17th cent. ; Dampier, William, -- 1652-1715. ; Sigüenza y Góngora, Carlos de, -- 1645-1700. -- Infortunios de Alonso Ramírez. ; Pirates -- History -- 17th century. ; Puerto Ricans -- Biography. ; Captivity narratives -- History -- 17th century. ; Voyages and travels -- History -- 17th century.</t>
  </si>
  <si>
    <t>Hispanic Immigrant Literature : El Sueño del Retorno</t>
  </si>
  <si>
    <t>https://ebookcentral.proquest.com/lib/viva-active/detail.action?docID=3443546</t>
  </si>
  <si>
    <t>Kanellos, Nicolás</t>
  </si>
  <si>
    <t>American literature -- Hispanic American authors -- History and criticism. ; Immigrants'' writings, American -- History and criticism. ; Hispanic Americans in literature. ; Emigration and immigration in literature. ; Immigrants in literature.</t>
  </si>
  <si>
    <t>Costume and History in Highland Ecuador</t>
  </si>
  <si>
    <t>https://ebookcentral.proquest.com/lib/viva-active/detail.action?docID=3443547</t>
  </si>
  <si>
    <t xml:space="preserve">Rowe, Ann Pollard;Rowe, Ann Pollard;Meisch, Lynn A.;Austin, Suzanne ;Bruhns, Dr Karen Olsen ;Rappaport, Joanne ;Rowe, Professor John Howland </t>
  </si>
  <si>
    <t>Clothing and dress -- Ecuador -- History. ; Ethnicity -- Ecuador -- History. ; Ecuador -- Social life and customs.</t>
  </si>
  <si>
    <t>Citizens and Sportsmen : Fútbol and Politics in Twentieth-Century Chile</t>
  </si>
  <si>
    <t>https://ebookcentral.proquest.com/lib/viva-active/detail.action?docID=3443548</t>
  </si>
  <si>
    <t>Elsey, Brenda</t>
  </si>
  <si>
    <t>Soccer -- Chile. ; Soccer -- Political aspects -- Chile. ; Nationalism and sports -- Chile.</t>
  </si>
  <si>
    <t>Making up the Difference : Women, Beauty, and Direct Selling in Ecuador</t>
  </si>
  <si>
    <t>https://ebookcentral.proquest.com/lib/viva-active/detail.action?docID=3443549</t>
  </si>
  <si>
    <t>Casanova, Erynn</t>
  </si>
  <si>
    <t>Direct selling -- Ecuador. ; Women -- Employment -- Ecuador. ; Women -- Ecuador -- Economic conditions. ; Cosmetics industry -- Ecuador.</t>
  </si>
  <si>
    <t>Organized Agriculture and the Labor Movement Before the UFW : Puerto Rico, Hawaii, California</t>
  </si>
  <si>
    <t>https://ebookcentral.proquest.com/lib/viva-active/detail.action?docID=3443551</t>
  </si>
  <si>
    <t xml:space="preserve">Valdés, Dionicio Nodín;Valdaes, Dennis Nodain </t>
  </si>
  <si>
    <t>Business/Management; Agriculture; Economics</t>
  </si>
  <si>
    <t>Agricultural laborers -- Puerto Rico -- History. ; Labor unions -- Puerto Rico -- History. ; Agricultural laborers -- Hawaii -- History. ; Labor unions -- Hawaii -- History. ; Agricultural laborers -- California -- History. ; Labor unions -- California -- History.</t>
  </si>
  <si>
    <t>Cuban Artists Across the Diaspora : Setting the Tent Against the House</t>
  </si>
  <si>
    <t>https://ebookcentral.proquest.com/lib/viva-active/detail.action?docID=3443553</t>
  </si>
  <si>
    <t>Herrera, Andrea O'Reilly</t>
  </si>
  <si>
    <t>Cuban American art. ; Displacement (Psychology) in art.</t>
  </si>
  <si>
    <t>Foxboy : Intimacy and Aesthetics in Andean Stories</t>
  </si>
  <si>
    <t>https://ebookcentral.proquest.com/lib/viva-active/detail.action?docID=3443555</t>
  </si>
  <si>
    <t>Allen, Catherine J.;Meyerson, Julia</t>
  </si>
  <si>
    <t>Quechua Indians -- Folklore. ; Quechua language -- Texts. ; Quechua textile fabrics. ; Foxes -- Folklore. ; Tales -- Andes Region. ; Erotic stories -- Social aspects -- Andes Region.</t>
  </si>
  <si>
    <t>Mexican Political Biographies, 1935-2009</t>
  </si>
  <si>
    <t>https://ebookcentral.proquest.com/lib/viva-active/detail.action?docID=3443556</t>
  </si>
  <si>
    <t>Camp, Roderic Ai</t>
  </si>
  <si>
    <t>LLILAS Special Publications</t>
  </si>
  <si>
    <t>Politicians -- Mexico -- Biography. ; Statesmen -- Mexico -- Biography. ; Mexico -- Biography.</t>
  </si>
  <si>
    <t>Tell Me the Story of How I Conquered You : Elsewheres and Ethnosuicide in the Colonial Mesoamerican World</t>
  </si>
  <si>
    <t>https://ebookcentral.proquest.com/lib/viva-active/detail.action?docID=3443560</t>
  </si>
  <si>
    <t>Dominicans -- Missions -- Mexico -- History. ; Franciscans -- Missions -- Mexico -- History. ; Codex Telleriano-Remensis. ; Aztec art. ; Aztecs -- Missions. ; Nahuatl language -- Writing. ; Mexico -- History -- Spanish colony, 1540-1810.</t>
  </si>
  <si>
    <t>Words of the True Peoples/Palabras de los Seres Verdaderos : Anthology of Contemporary Mexican Indigenous-Language Writers/Antología de Escritores Actuales en Lenguas Indígenas de México : Volume Three/Tomo Tres : Theater/Teatro</t>
  </si>
  <si>
    <t>https://ebookcentral.proquest.com/lib/viva-active/detail.action?docID=3443561</t>
  </si>
  <si>
    <t>Montemayor, Carlos;Frischmann, Donald;Frischmann, Donald</t>
  </si>
  <si>
    <t>Indian literature -- Mexico -- History and criticism. ; Indians of Mexico -- Languages -- Texts. ; Maya literature -- History and criticism. ; Mexican literature -- History and criticism.</t>
  </si>
  <si>
    <t>Portuguese : A Reference Manual</t>
  </si>
  <si>
    <t>https://ebookcentral.proquest.com/lib/viva-active/detail.action?docID=3443566</t>
  </si>
  <si>
    <t>Ackerlind, Sheila R.;Jones-Kellogg, Rebecca</t>
  </si>
  <si>
    <t>Portuguese language -- Textbooks for foreign speakers -- English. ; Portuguese language -- Grammar.</t>
  </si>
  <si>
    <t>Journey of a Tzotzil-Maya Woman of Chiapas, Mexico : Pass Well over the Earth</t>
  </si>
  <si>
    <t>https://ebookcentral.proquest.com/lib/viva-active/detail.action?docID=3443572</t>
  </si>
  <si>
    <t>Eber, Christine;Antonia</t>
  </si>
  <si>
    <t>Tzotzil women -- Mexico -- Chenalhó -- Social conditions. ; Tzotzil women -- Political activity -- Mexico -- Chenalhó. ; Feminist anthropology -- Mexico -- Chenalhó. ; Chiapas (Mexico) -- History -- Peasant Uprising, 1994- ; Chenalhó (Mexico) -- History. ; Chenalhó (Mexico) -- Social conditions.</t>
  </si>
  <si>
    <t>Vintage Moquegua : History, Wine, and Archaeology on a Colonial Peruvian Periphery</t>
  </si>
  <si>
    <t>https://ebookcentral.proquest.com/lib/viva-active/detail.action?docID=3443573</t>
  </si>
  <si>
    <t>Rice, Prudence M.</t>
  </si>
  <si>
    <t>Wine and wine making -- Peru -- Moquegua River Valley -- History. ; Viticulture -- Peru -- Moquegua River Valley -- History. ; Excavations (Archaeology) -- Peru -- Moquegua River Valley. ; Moquegua River Valley (Peru) -- History. ; Moquegua River Valley (Peru) -- Antiquities.</t>
  </si>
  <si>
    <t>Maras : Gang Violence and Security in Central America</t>
  </si>
  <si>
    <t>https://ebookcentral.proquest.com/lib/viva-active/detail.action?docID=3443579</t>
  </si>
  <si>
    <t>Bruneau, Thomas C.;Dammert, Lucía;Skinner, Elizabeth</t>
  </si>
  <si>
    <t>Gangs -- Central America -- Case studies. ; Youth -- Central America -- Social conditions. ; Juvenile delinquency -- Social aspects -- Central America. ; Central Americans -- United States. ; Central America -- Politics and government.</t>
  </si>
  <si>
    <t>Urban Chroniclers in Modern Latin America : The Shared Intimacy of Everyday Life</t>
  </si>
  <si>
    <t>https://ebookcentral.proquest.com/lib/viva-active/detail.action?docID=3443582</t>
  </si>
  <si>
    <t>Mahieux, Viviane</t>
  </si>
  <si>
    <t>Latin American literature -- 20th century -- History and criticism. ; Reportage literature, Latin American -- History and criticism. ; Literature and society -- Latin America. ; City and town life -- Latin America. ; Marginality, Social, in literature. ; Latin America -- Intellectual life. ; Latin America -- In literature.</t>
  </si>
  <si>
    <t>Life on the Hyphen : The Cuban-American Way</t>
  </si>
  <si>
    <t>https://ebookcentral.proquest.com/lib/viva-active/detail.action?docID=3443585</t>
  </si>
  <si>
    <t>Cuban Americans. ; Popular culture -- United States. ; Cuban Americans -- Florida -- Miami.</t>
  </si>
  <si>
    <t>Mexico and Mexicans in the Making of the United States</t>
  </si>
  <si>
    <t>https://ebookcentral.proquest.com/lib/viva-active/detail.action?docID=3443589</t>
  </si>
  <si>
    <t>Tutino, John</t>
  </si>
  <si>
    <t>Mexican Americans -- History. ; Mexicans -- United States -- History. ; United States -- Foreign relations -- Mexico. ; Mexico -- Foreign relations -- United States.</t>
  </si>
  <si>
    <t>Conversations Across Our America : Talking about Immigration and the Latinoization of the United States</t>
  </si>
  <si>
    <t>https://ebookcentral.proquest.com/lib/viva-active/detail.action?docID=3443593</t>
  </si>
  <si>
    <t>Mendoza, Louis G.</t>
  </si>
  <si>
    <t>Hispanic Americans -- Interviews. ; Hispanic Americans -- Social conditions. ; Immigrants -- United States -- Interviews. ; Immigrants -- United States -- Social conditions. ; United States -- Civilization -- Hispanic influences. ; United States -- Emigration and immigration -- Social aspects.</t>
  </si>
  <si>
    <t>Power, Institutions, and Leadership in War and Peace : Lessons from Peru and Ecuador, 1995-1998</t>
  </si>
  <si>
    <t>https://ebookcentral.proquest.com/lib/viva-active/detail.action?docID=3443594</t>
  </si>
  <si>
    <t>Mares, David R.;Palmer, David Scott</t>
  </si>
  <si>
    <t>Political Science; Military Science</t>
  </si>
  <si>
    <t>Boundary disputes -- Case studies. ; Political leadership -- Case studies. ; Political leadership -- Ecuador. ; Political leadership -- Peru. ; Politics and war -- Case studies. ; Politics and war -- Ecuador. ; Politics and war -- Peru.</t>
  </si>
  <si>
    <t>Worlds of the Moche on the North Coast of Peru</t>
  </si>
  <si>
    <t>https://ebookcentral.proquest.com/lib/viva-active/detail.action?docID=3443603</t>
  </si>
  <si>
    <t>Benson, Elizabeth P.</t>
  </si>
  <si>
    <t>Mochica Indians -- History. ; Mochica pottery. ; Mochica architecture. ; Pacific Coast (Peru) -- Antiquities.</t>
  </si>
  <si>
    <t>Uncivil Wars : Elena Garro, Octavio Paz, and the Battle for Cultural Memory</t>
  </si>
  <si>
    <t>https://ebookcentral.proquest.com/lib/viva-active/detail.action?docID=3443605</t>
  </si>
  <si>
    <t>Cypess, Sandra Messinger</t>
  </si>
  <si>
    <t>Garro, Elena -- Criticism and interpretation. ; Paz, Octavio, -- 1914-1998 -- Criticism and interpretation. ; National characteristics, Mexican, in literature. ; Collective memory -- Mexico.</t>
  </si>
  <si>
    <t>Education of a Radical : An American Revolutionary in Sandinista Nicaragua</t>
  </si>
  <si>
    <t>https://ebookcentral.proquest.com/lib/viva-active/detail.action?docID=3443606</t>
  </si>
  <si>
    <t>Johns, Michael</t>
  </si>
  <si>
    <t>Johns, Michael, -- 1958- ; Frente Sandinista de Liberación Nacional. ; Civil war -- Nicaragua -- History -- 20th century. ; Socialism -- Nicaragua -- History -- 20th century. ; Americans -- Nicaragua -- Biography. ; Revolutionaries -- Nicaragua -- Biography. ; Intellectuals -- United States -- Biography.</t>
  </si>
  <si>
    <t>Mexican Women in American Factories : Free Trade and Exploitation on the Border</t>
  </si>
  <si>
    <t>https://ebookcentral.proquest.com/lib/viva-active/detail.action?docID=3443609</t>
  </si>
  <si>
    <t>Tuttle, Carolyn</t>
  </si>
  <si>
    <t>Offshore assembly industry -- Mexico. ; Women offshore assembly industry workers -- Mexico. ; Corporations, Foreign -- Mexico. ; Manufacturing industries -- United States -- Employees. ; International business enterprises -- United States -- Employees. ; Mexican-American Border Region -- Economic conditions. ; Mexican-American Border Region -- Social conditions.</t>
  </si>
  <si>
    <t>Cultural Life of the Automobile : Roads to Modernity</t>
  </si>
  <si>
    <t>https://ebookcentral.proquest.com/lib/viva-active/detail.action?docID=3443612</t>
  </si>
  <si>
    <t>Giucci, Guillermo;Mayagoitia, Anne;Nagao, Debra</t>
  </si>
  <si>
    <t>LLILAS Translations from Latin America Series</t>
  </si>
  <si>
    <t>Automobiles -- Social aspects. ; Automobiles -- History. ; Automobiles -- Social aspects -- United States. ; Automobiles -- United States -- History.</t>
  </si>
  <si>
    <t>Photographing the Mexican Revolution : Commitments, Testimonies, Icons</t>
  </si>
  <si>
    <t>https://ebookcentral.proquest.com/lib/viva-active/detail.action?docID=3443613</t>
  </si>
  <si>
    <t>Mraz, John</t>
  </si>
  <si>
    <t>Photography -- Mexico -- History. ; Historiography and photography -- Mexico. ; Mexico -- History -- Revolution, 1910-1920 -- Photography. ; Mexico -- History -- Revolution, 1910-1920 -- Pictorial works.</t>
  </si>
  <si>
    <t>Américo Paredes : Culture and Critique</t>
  </si>
  <si>
    <t>https://ebookcentral.proquest.com/lib/viva-active/detail.action?docID=3443616</t>
  </si>
  <si>
    <t>Limón, José Eduardo</t>
  </si>
  <si>
    <t>Paredes, Américo, -- 1915-1999 -- Criticism and interpretation. ; Authors, Mexican.</t>
  </si>
  <si>
    <t>Informal and Underground Economy of the South Texas Border</t>
  </si>
  <si>
    <t>https://ebookcentral.proquest.com/lib/viva-active/detail.action?docID=3443617</t>
  </si>
  <si>
    <t>Richardson, Chad;Pisani, Michael J.</t>
  </si>
  <si>
    <t>Jack and Doris Smothers Series in Texas History, Life, and Culture</t>
  </si>
  <si>
    <t>Informal sector (Economics) -- Texas. ; Informal sector (Economics) -- Mexican-American Border Region. ; Labor -- Texas. ; Labor -- Mexican-American Border Region. ; Crime -- Texas. ; Crime -- Mexican-American Border Region. ; Texas -- Economic conditions.</t>
  </si>
  <si>
    <t>Sancho's Journal : Exploring the Political Edge with the Brown Berets</t>
  </si>
  <si>
    <t>https://ebookcentral.proquest.com/lib/viva-active/detail.action?docID=3443620</t>
  </si>
  <si>
    <t>Montejano, David;Montoya, Maceo</t>
  </si>
  <si>
    <t>Mexican Americans -- Texas -- San Antonio -- History -- 20th century. ; Mexican Americans -- Texas -- San Antonio -- Politics and government -- 20th century. ; Mexican Americans -- Texas -- San Antonio -- Biography. ; Chicano movement -- Texas -- San Antonio. ; San Antonio (Tex.) -- Race relations -- History -- 20th century. ; San Antonio (Tex.) -- Politics and government -- 20th century.</t>
  </si>
  <si>
    <t>Americans All : Good Neighbor Cultural Diplomacy in World War II</t>
  </si>
  <si>
    <t>https://ebookcentral.proquest.com/lib/viva-active/detail.action?docID=3443623</t>
  </si>
  <si>
    <t>Sadlier, Darlene J.</t>
  </si>
  <si>
    <t>World War, 1939-1945 -- Diplomatic history. ; Cultural industries -- Political aspects -- United States -- History -- 20th century. ; Popular culture -- Political aspects -- United States -- History -- 20th century. ; United States -- Relations -- Latin America. ; Latin America -- Relations -- United States. ; United States -- Cultural policy. ; United States -- Foreign relations -- 1933-1945.</t>
  </si>
  <si>
    <t>Tomorrow We're All Going to the Harvest : Temporary Foreign Worker Programs and Neoliberal Political Economy</t>
  </si>
  <si>
    <t>https://ebookcentral.proquest.com/lib/viva-active/detail.action?docID=3443628</t>
  </si>
  <si>
    <t>Binford, Leigh</t>
  </si>
  <si>
    <t>Agricultural laborers, Foreign -- Canada. ; Foreign workers -- Government policy -- Canada. ; Foreign workers, Mexican -- Canada. ; Canada -- Emigration and immigration -- Economic aspects. ; Mexico -- Emigration and immigration -- Economic aspects.</t>
  </si>
  <si>
    <t>Becoming a Bilingual Family : Help Your Kids Learn Spanish (and Learn Spanish Yourself in the Process)</t>
  </si>
  <si>
    <t>https://ebookcentral.proquest.com/lib/viva-active/detail.action?docID=3443646</t>
  </si>
  <si>
    <t>Marks, Stephen;Marks, Jeffrey</t>
  </si>
  <si>
    <t>Bilingualism in children. ; Parenting. ; Children -- Language.</t>
  </si>
  <si>
    <t>Experimental Latin American Cinema : History and Aesthetics</t>
  </si>
  <si>
    <t>https://ebookcentral.proquest.com/lib/viva-active/detail.action?docID=3443647</t>
  </si>
  <si>
    <t>Tompkins, Cynthia</t>
  </si>
  <si>
    <t>Experimental films -- Latin America -- History and criticism.</t>
  </si>
  <si>
    <t>From the Republic of the Rio Grande : A Personal History of the Place and the People</t>
  </si>
  <si>
    <t>https://ebookcentral.proquest.com/lib/viva-active/detail.action?docID=3443648</t>
  </si>
  <si>
    <t>de la Garza, Beatriz</t>
  </si>
  <si>
    <t>De La Garza, Beatriz Eugenia -- Family. ; De La Garza, Beatriz Eugenia. ; Mexico, North -- History. ; Mexico, North -- History -- Autonomy and independence movements. ; Texas, South -- History. ; Mexican-American Border Region -- History. ; Mexico, North -- Biography.</t>
  </si>
  <si>
    <t>Fight to Save Juárez : Life in the Heart of Mexico's Drug War</t>
  </si>
  <si>
    <t>https://ebookcentral.proquest.com/lib/viva-active/detail.action?docID=3443649</t>
  </si>
  <si>
    <t>Ainslie, Ricardo C.</t>
  </si>
  <si>
    <t>Drug traffic -- Mexico -- Ciudad Juárez. ; Drug control -- Mexico -- Ciudad Juárez. ; Violent crimes -- Mexico -- Ciudad Juárez.</t>
  </si>
  <si>
    <t>Dancing the New World : Aztecs, Spaniards, and the Choreography of Conquest</t>
  </si>
  <si>
    <t>https://ebookcentral.proquest.com/lib/viva-active/detail.action?docID=3443653</t>
  </si>
  <si>
    <t>Scolieri, Paul A.</t>
  </si>
  <si>
    <t>Aztec dance. ; Indian dance -- Mexico. ; Dance -- Anthropological aspects -- Mexico. ; Aztecs -- First contact with Europeans. ; Mexico -- History -- Spanish colony, 1540-1810.</t>
  </si>
  <si>
    <t>Amazon Town TV : An Audience Ethnography in Gurupá, Brazil</t>
  </si>
  <si>
    <t>https://ebookcentral.proquest.com/lib/viva-active/detail.action?docID=3443654</t>
  </si>
  <si>
    <t>Pace, Richard;Hinote, Brian P.</t>
  </si>
  <si>
    <t>Ethnology -- Brazil -- Gurupa (Para) ; Television and culture -- Brazil -- Gurupa (Para) ; Television and families -- Brazil -- Gurupa (Para) ; Television in popular culture -- History. ; Social change -- Brazil -- Brazil -- Gurupa (Para) ; razil -- Gurupa (Para), Brazil) -- Social life and customs.</t>
  </si>
  <si>
    <t>Anay's Will to Learn : A Woman's Education in the Shadow of the Maquiladoras</t>
  </si>
  <si>
    <t>https://ebookcentral.proquest.com/lib/viva-active/detail.action?docID=3443655</t>
  </si>
  <si>
    <t>Hampton, Elaine;Palomeque de Carillo, Anay</t>
  </si>
  <si>
    <t>Social Science; Education</t>
  </si>
  <si>
    <t>Women -- Education -- Mexico. ; Women -- Mexico -- Social conditions. ; Offshore assembly industry -- Mexico.</t>
  </si>
  <si>
    <t>Our House in the Clouds : Building a Second Life in the Andes of Ecuador</t>
  </si>
  <si>
    <t>https://ebookcentral.proquest.com/lib/viva-active/detail.action?docID=3443663</t>
  </si>
  <si>
    <t>Blankenship, Judy</t>
  </si>
  <si>
    <t>Louann Atkins Temple Women and Culture</t>
  </si>
  <si>
    <t>Blankenship, Judy, -- 1941- ; Americans -- Ecuador -- Biography. ; Community life -- Ecuador -- Canar (Province) ; Canar (Ecuador : Province) -- Description and travel. ; Canar (Ecuador : Province) -- Social life and customs.</t>
  </si>
  <si>
    <t>Maya after War : Conflict, Power, and Politics in Guatemala</t>
  </si>
  <si>
    <t>https://ebookcentral.proquest.com/lib/viva-active/detail.action?docID=3443668</t>
  </si>
  <si>
    <t>Burrell, Jennifer L.</t>
  </si>
  <si>
    <t>Mayas -- Crimes against -- Guatemala. ; Mayas -- Violence against -- Guatemala. ; Social conflict -- Guatemala. ; Ethnic conflict -- Guatemala. ; Guatemala -- Politics and government. ; Guatemala -- Race relations. ; Guatemala -- Ethnic relations.</t>
  </si>
  <si>
    <t>Living with Oil : Promises, Peaks, and Declines on Mexico's Gulf Coast</t>
  </si>
  <si>
    <t>https://ebookcentral.proquest.com/lib/viva-active/detail.action?docID=3443669</t>
  </si>
  <si>
    <t>Breglia, Lisa</t>
  </si>
  <si>
    <t>Peter T. Flawn Series in Natural Resources</t>
  </si>
  <si>
    <t>Business/Management; Economics; Environmental Studies</t>
  </si>
  <si>
    <t>Petroleum industry and trade -- Mexico. ; Oil industries -- Mexico.</t>
  </si>
  <si>
    <t>Undocumented Dominican Migration</t>
  </si>
  <si>
    <t>https://ebookcentral.proquest.com/lib/viva-active/detail.action?docID=3443670</t>
  </si>
  <si>
    <t>Graziano, Frank</t>
  </si>
  <si>
    <t>Immigrants -- Dominican Republic. ; Illegal aliens -- Dominican Republic. ; Refugees -- Dominican Republic. ; Dominican Republic -- Emigration and immigration.</t>
  </si>
  <si>
    <t>Living with Lupus : Women and Chronic Illness in Ecuador</t>
  </si>
  <si>
    <t>https://ebookcentral.proquest.com/lib/viva-active/detail.action?docID=3443672</t>
  </si>
  <si>
    <t>Louann Atkins Temple Women &amp; Culture Series</t>
  </si>
  <si>
    <t>Systemic lupus erythematosus -- Ecuador. ; Women -- Diseases -- Ecuador.</t>
  </si>
  <si>
    <t>Of Beasts and Beauty : Gender, Race, and Identity in Colombia</t>
  </si>
  <si>
    <t>https://ebookcentral.proquest.com/lib/viva-active/detail.action?docID=3443677</t>
  </si>
  <si>
    <t>Stanfield, Michael Edward</t>
  </si>
  <si>
    <t>Feminine beauty (Aesthetics) -- Colombia -- History. ; Beauty contests -- Colombia -- History. ; Women -- Colombia -- History. ; Nationalism -- Colombia -- History. ; Colombia -- History -- 1810- ; Colombia -- Social conditions. ; Colombia -- Politics and government.</t>
  </si>
  <si>
    <t>Art Against Dictatorship : Making and Exporting Arpilleras Under Pinochet</t>
  </si>
  <si>
    <t>https://ebookcentral.proquest.com/lib/viva-active/detail.action?docID=3443681</t>
  </si>
  <si>
    <t>Adams, Jacqueline</t>
  </si>
  <si>
    <t>Louann Atkins Temple Women and Culture Series</t>
  </si>
  <si>
    <t>Women -- Political activity -- Chile -- History -- 20th century. ; Arpilleras. ; Decorative arts -- Political aspects -- Chile -- History -- 20th century.</t>
  </si>
  <si>
    <t>Recollections of a Tejano Life : Antonio Menchaca in Texas History</t>
  </si>
  <si>
    <t>https://ebookcentral.proquest.com/lib/viva-active/detail.action?docID=3443685</t>
  </si>
  <si>
    <t>Matovina, Timothy;de la Teja, Jesús F.;Poché, Justin</t>
  </si>
  <si>
    <t>Menchaca, Antonio, -- 1800-1879. ; Mexican Americans -- Texas -- Biography. ; Soldiers -- Texas -- Biography. ; Texas -- History -- Revolution, 1835-1836 -- Personal narratives. ; Texas -- History -- To 1846 -- Sources. ; Texas -- History -- 1846-1950 -- Sources. ; San Antonio (Tex.) -- History -- 19th century -- Sources.</t>
  </si>
  <si>
    <t>I Ask for Justice : Maya Women, Dictators, and Crime in Guatemala, 1898–1944</t>
  </si>
  <si>
    <t>https://ebookcentral.proquest.com/lib/viva-active/detail.action?docID=3443686</t>
  </si>
  <si>
    <t>Carey, David</t>
  </si>
  <si>
    <t>Sex discrimination in criminal justice administration -- Guatemala -- History -- 20th century. ; Maya women -- Legal status, laws, etc. -- Guatemala -- History -- 20th century. ; Maya women -- Crimes against -- Guatemala -- History -- 20th century. ; Maya women -- Guatemala -- Social conditions -- 20th century.</t>
  </si>
  <si>
    <t>Ecology of the Barí : Rainforest Horticulturalists of South America</t>
  </si>
  <si>
    <t>https://ebookcentral.proquest.com/lib/viva-active/detail.action?docID=3443687</t>
  </si>
  <si>
    <t>Beckerman, Stephen;Lizarralde, Roberto</t>
  </si>
  <si>
    <t>Motilon Indians -- Agriculture -- Venezuela -- Maracaibo Basin. ; Motilon Indians -- Venezuela -- Maracaibo Basin -- Social conditions. ; Indigenous peoples -- Ecology -- Venezuela -- Maracaibo Basin. ; Rain forest ecology -- Venezuela -- Maracaibo Basin. ; Traditional ecological knowledge -- Venezuela -- Maracaibo Basin. ; Maracaibo Basin (Venezuela) -- Environmental conditions. ; Maracaibo Basin (Venezuela) -- Social life and customs.</t>
  </si>
  <si>
    <t>Subterranean Struggles : New Dynamics of Mining, Oil, and Gas in Latin America</t>
  </si>
  <si>
    <t>https://ebookcentral.proquest.com/lib/viva-active/detail.action?docID=3443690</t>
  </si>
  <si>
    <t>Bebbington, Anthony;Bury, Jeffrey</t>
  </si>
  <si>
    <t>Engineering; Engineering: Mining; Environmental Studies; Economics</t>
  </si>
  <si>
    <t>Mines and mineral resources -- Latin America. ; Social ecology -- Latin America.</t>
  </si>
  <si>
    <t>Lexikon of the Hispanic Baroque : Transatlantic Exchange and Transformation</t>
  </si>
  <si>
    <t>https://ebookcentral.proquest.com/lib/viva-active/detail.action?docID=3443692</t>
  </si>
  <si>
    <t>Levy, Evonne;Mills, Kenneth</t>
  </si>
  <si>
    <t>Civilization, Baroque. ; Civilization, Hispanic. ; America -- Civilization. ; Spain -- Civilization -- 1516-1700.</t>
  </si>
  <si>
    <t>Amazons, Wives, Nuns, and Witches : Women and the Catholic Church in Colonial Brazil, 1500-1822</t>
  </si>
  <si>
    <t>https://ebookcentral.proquest.com/lib/viva-active/detail.action?docID=3443693</t>
  </si>
  <si>
    <t>Myscofski, Carole A.</t>
  </si>
  <si>
    <t>Catholic women -- Brazil. ; Women and religion -- Brazil. ; Women in the Catholic Church -- Brazil. ; Women -- Religious life -- Brazil. ; Brazil -- Church history -- To 1822.</t>
  </si>
  <si>
    <t>When Mexicans Could Play Ball : Basketball, Race, and Identity in San Antonio, 1928-1945</t>
  </si>
  <si>
    <t>https://ebookcentral.proquest.com/lib/viva-active/detail.action?docID=3443695</t>
  </si>
  <si>
    <t>García, Ignacio M.</t>
  </si>
  <si>
    <t>Basketball -- Social aspects -- Texas -- San Antonio. ; Basketball -- Texas -- San Antonio. ; Hispanic American basketball players -- Texas -- San Antonio. ; Mexican Americans -- Social life and customs. ; Mexican Americans -- Texas -- San Antonio. ; Sports -- Texas -- San Antonio -- History. ; San Antonio (Tex.) -- Social conditions.</t>
  </si>
  <si>
    <t>Black-Brown Solidarity : Racial Politics in the New Gulf South</t>
  </si>
  <si>
    <t>https://ebookcentral.proquest.com/lib/viva-active/detail.action?docID=3443700</t>
  </si>
  <si>
    <t>Márquez, John D.</t>
  </si>
  <si>
    <t>African Americans -- Gulf Coast (U.S.) -- History -- 20th century. ; Mexican Americans -- Gulf Coast (U.S.) -- History -- 20th century. ; Intercultural communication -- Gulf Coast (U.S.) -- History -- 20th century. ; Gulf Coast (U.S.) -- Ethnic relations -- History -- 20th century. ; Gulf Coast (U.S.) -- Social conditions -- 20th century.</t>
  </si>
  <si>
    <t>Cosmopolitanism in Mexican Visual Culture</t>
  </si>
  <si>
    <t>https://ebookcentral.proquest.com/lib/viva-active/detail.action?docID=3443703</t>
  </si>
  <si>
    <t>Fernández, María</t>
  </si>
  <si>
    <t>Art, Mexican -- Themes, motives. ; Architecture -- Mexico -- Themes, motives. ; Eclecticism in art -- Mexico. ; Eclecticism in architecture -- Mexico. ; National characteristics, Mexican.</t>
  </si>
  <si>
    <t>Panza Monologues</t>
  </si>
  <si>
    <t>https://ebookcentral.proquest.com/lib/viva-active/detail.action?docID=3443704</t>
  </si>
  <si>
    <t>Grise, Virginia;Mayorga, Irma;López, Tiffany Ana</t>
  </si>
  <si>
    <t>Mexican American women -- Drama. ; Body image -- Drama. ; Monologues.</t>
  </si>
  <si>
    <t>Americans in the Treasure House : Travel to Porfirian Mexico and the Cultural Politics of Empire</t>
  </si>
  <si>
    <t>https://ebookcentral.proquest.com/lib/viva-active/detail.action?docID=3443705</t>
  </si>
  <si>
    <t>Ruiz, Jason</t>
  </si>
  <si>
    <t>Americans -- Travel -- Mexico -- History -- 19th century. ; Tourism -- Mexico -- History -- 19th century. ; Investments, American -- Mexico -- History -- 19th century. ; Mexico -- History -- 1867-1910.</t>
  </si>
  <si>
    <t>Mexican Americans and the Question of Race</t>
  </si>
  <si>
    <t>https://ebookcentral.proquest.com/lib/viva-active/detail.action?docID=3443714</t>
  </si>
  <si>
    <t>Dowling, Julie A.</t>
  </si>
  <si>
    <t>Mexican Americans -- Race identity. ; Mexican Americans -- Social conditions. ; United States -- Race relations.</t>
  </si>
  <si>
    <t>Latina/os and World War II : Mobility, Agency, and Ideology</t>
  </si>
  <si>
    <t>https://ebookcentral.proquest.com/lib/viva-active/detail.action?docID=3443717</t>
  </si>
  <si>
    <t>Rivas-Rodriguez, Maggie;Olguín, B.V.</t>
  </si>
  <si>
    <t>World War, 1939-1945 -- Participation, Hispanic American. ; World War, 1939-1945 -- Social aspects -- United States. ; Hispanic American soldiers -- History -- 20th century. ; Hispanic Americans -- Social conditions -- 20th century. ; United States -- Armed Forces -- Hispanic Americans -- History -- 20th century.</t>
  </si>
  <si>
    <t>Contesting Trade in Central America : Market Reform and Resistance</t>
  </si>
  <si>
    <t>https://ebookcentral.proquest.com/lib/viva-active/detail.action?docID=3443725</t>
  </si>
  <si>
    <t>Spalding, Rose J.</t>
  </si>
  <si>
    <t>CAFTA (Free trade agreement) -- (2005) ; Free trade -- Central America. ; Central America -- Commerce. ; Central America -- Commercial policy. ; Central America -- Foreign economic relations.</t>
  </si>
  <si>
    <t>Relación de Michoacán (1539-1541) and the Politics of Representation in Colonial Mexico</t>
  </si>
  <si>
    <t>https://ebookcentral.proquest.com/lib/viva-active/detail.action?docID=3443754</t>
  </si>
  <si>
    <t xml:space="preserve">Afanador-Pujol, Angélica Jimena;Afanador Pujol, Angaelica Jimena </t>
  </si>
  <si>
    <t>Recovering Languages and Literacies of the Americas</t>
  </si>
  <si>
    <t>Relación de Michoacán. ; Illumination of books and manuscripts -- Mexico -- Michoacán de Ocampo. ; Indians of Mexico -- Ethnic identity. ; Indians of Mexico -- Mexico -- Michoacán de Ocampo -- History. ; Political aspects -- Mexico -- Michoacán de Ocampo. ; Michoacán de Ocampo (Mexico) -- History -- 16th century.</t>
  </si>
  <si>
    <t>María Izquierdo and Frida Kahlo : Challenging Visions in Modern Mexican Art</t>
  </si>
  <si>
    <t>https://ebookcentral.proquest.com/lib/viva-active/detail.action?docID=3443761</t>
  </si>
  <si>
    <t>Deffebach, Nancy</t>
  </si>
  <si>
    <t>Latin American and Caribbean Arts and Culture Publication Initiative, Mellon Foundation</t>
  </si>
  <si>
    <t>Izquierdo, María, -- 1902-1955 -- Criticism and interpretation. ; Kahlo, Frida -- Criticism and interpretation. ; Women artists -- Mexico. ; Feminism and art.</t>
  </si>
  <si>
    <t>Death of Aztec Tenochtitlan, the Life of Mexico City</t>
  </si>
  <si>
    <t>https://ebookcentral.proquest.com/lib/viva-active/detail.action?docID=3443767</t>
  </si>
  <si>
    <t>Mundy, Barbara E.</t>
  </si>
  <si>
    <t>Nahuas -- Mexico -- Mexico City -- History. ; Aztecs -- Mexico -- Mexico City -- History. ; Power (Social sciences) -- Mexico -- Mexico City -- History. ; Sacred space -- Mexico -- Mexico City -- History. ; Architecture -- Mexico -- Mexico City -- History. ; Water-supply -- Mexico -- Mexico City -- History. ; Mexico City (Mexico) -- History -- To 1519.</t>
  </si>
  <si>
    <t>Portable Borders : Performance Art and Politics on the U.S. Frontera since 1984</t>
  </si>
  <si>
    <t>https://ebookcentral.proquest.com/lib/viva-active/detail.action?docID=3443770</t>
  </si>
  <si>
    <t>Sheren, Ila N.</t>
  </si>
  <si>
    <t>Performance art -- Mexican-American Border Region -- 20th century. ; Performance art -- Mexican-American Border Region -- 21st century. ; Art -- Political aspects -- Mexican-American Border Region -- History -- 20th century. ; Art -- Political aspects -- Mexican-American Border Region -- History -- 21st century. ; Boundaries in art.</t>
  </si>
  <si>
    <t>The Magic Key : The Educational Journey of Mexican Americans from K-12 to College and Beyond</t>
  </si>
  <si>
    <t>https://ebookcentral.proquest.com/lib/viva-active/detail.action?docID=3443788</t>
  </si>
  <si>
    <t>Zambrana, Ruth Enid;Hurtado, Sylvia</t>
  </si>
  <si>
    <t>Mexican Americans -- Education. ; Education -- Social aspects -- United States. ; Minorities -- Education -- United States. ; Discrimination in education.</t>
  </si>
  <si>
    <t>Mopan Maya-Spanish-English Dictionary</t>
  </si>
  <si>
    <t>https://ebookcentral.proquest.com/lib/viva-active/detail.action?docID=3443843</t>
  </si>
  <si>
    <t xml:space="preserve">Hofling, Charles A.;Johnson, Helen </t>
  </si>
  <si>
    <t>University of Utah Press</t>
  </si>
  <si>
    <t>Mopan dialect -- Dictionaries -- Spanish. ; Spanish language -- Dictionaries -- Mopan. ; Maya language -- Dictionaries -- English. ; English language -- Dictionaries -- Maya. ; Mopan dialect -- Grammar.</t>
  </si>
  <si>
    <t>People of the Water : Change and Continuity among the Uru-Chipayans of Bolivia</t>
  </si>
  <si>
    <t>https://ebookcentral.proquest.com/lib/viva-active/detail.action?docID=3443874</t>
  </si>
  <si>
    <t>Bastien, Joseph</t>
  </si>
  <si>
    <t>Chipaya Indians -- Religion. ; Chipaya Indians -- Rites and ceremonies. ; Chipaya Indians -- Social life and customs. ; Indigenous peoples -- Ecology -- Bolivia -- Chipaya. ; Traditional farming -- Bolivia -- Chipaya. ; Traditional medicine -- Bolivia -- Chipaya. ; Chipaya (Bolivia) -- Social life and customs.</t>
  </si>
  <si>
    <t>We Remember, We Celebrate, We Believe / Recuerdo, Celebración, y Esperanza : Latinos in Utah</t>
  </si>
  <si>
    <t>https://ebookcentral.proquest.com/lib/viva-active/detail.action?docID=3443918</t>
  </si>
  <si>
    <t>Solórzano, Armando;Solórzano, Armando</t>
  </si>
  <si>
    <t>Hispanic Americans -- Utah -- History. ; Hispanic Americans -- Utah -- Social conditions.</t>
  </si>
  <si>
    <t>Acts of Narrative Resistance : Women's Autobiographical Writings in the Americas</t>
  </si>
  <si>
    <t>https://ebookcentral.proquest.com/lib/viva-active/detail.action?docID=3443943</t>
  </si>
  <si>
    <t>Beard, Laura J.</t>
  </si>
  <si>
    <t>University of Virginia Press</t>
  </si>
  <si>
    <t>New World Studies</t>
  </si>
  <si>
    <t>Autobiography -- Women authors. ; Autobiography -- Political aspects. ; Latin American prose literature -- Women authors -- History and criticism. ; Latin American prose literature -- 20th century -- History and criticism. ; Canadian prose literature -- Women authors -- History and criticism. ; Canadian prose literature -- 20th century -- History and criticism. ; Women -- America -- Biography -- History and criticism.</t>
  </si>
  <si>
    <t>Caribbean Perspectives on Modernity : Returning Medusa's Gaze</t>
  </si>
  <si>
    <t>https://ebookcentral.proquest.com/lib/viva-active/detail.action?docID=3444012</t>
  </si>
  <si>
    <t>Fumagalli, Maria Cristina</t>
  </si>
  <si>
    <t>Caribbean literature (English) -- History and criticism. ; Caribbean Area -- In literature.</t>
  </si>
  <si>
    <t>Disaster Writing : The Cultural Politics of Catastrophe in Latin America</t>
  </si>
  <si>
    <t>https://ebookcentral.proquest.com/lib/viva-active/detail.action?docID=3444023</t>
  </si>
  <si>
    <t>Anderson, Mark D.</t>
  </si>
  <si>
    <t>Catastrophes (Geology) in literature</t>
  </si>
  <si>
    <t>Consuming Visions : Cinema, Writing, and Modernity in Rio de Janeiro</t>
  </si>
  <si>
    <t>https://ebookcentral.proquest.com/lib/viva-active/detail.action?docID=3444033</t>
  </si>
  <si>
    <t>Conde, Maite</t>
  </si>
  <si>
    <t>Motion pictures - Brazil - History - 20th century</t>
  </si>
  <si>
    <t>When the Sun Danced : Myth, Miracles, and Modernity in Early Twentieth-Century Portugal</t>
  </si>
  <si>
    <t>https://ebookcentral.proquest.com/lib/viva-active/detail.action?docID=3444034</t>
  </si>
  <si>
    <t>Bennett, Jeffrey S.</t>
  </si>
  <si>
    <t>Studies in Religion and Culture</t>
  </si>
  <si>
    <t>Faatima (Portugal) - Religious life and customs</t>
  </si>
  <si>
    <t>Family Matters : Puerto Rican Women Authors on the Island and the Mainland</t>
  </si>
  <si>
    <t>https://ebookcentral.proquest.com/lib/viva-active/detail.action?docID=3444051</t>
  </si>
  <si>
    <t>Moreno, Marisel C.</t>
  </si>
  <si>
    <t>American literature - Puerto Rican authors - History and criticism.</t>
  </si>
  <si>
    <t>The Way of the Stars : Journeys on the Camino de Santiago</t>
  </si>
  <si>
    <t>https://ebookcentral.proquest.com/lib/viva-active/detail.action?docID=3444075</t>
  </si>
  <si>
    <t>Sibley, Robert C.</t>
  </si>
  <si>
    <t>Sibley, Robert C - Travel - Camino de Santiago de Compostela</t>
  </si>
  <si>
    <t>Neobaroque in the Americas : Alternative Modernities in Literature, Visual Art, and Film</t>
  </si>
  <si>
    <t>https://ebookcentral.proquest.com/lib/viva-active/detail.action?docID=3444078</t>
  </si>
  <si>
    <t>Kaup, Monika</t>
  </si>
  <si>
    <t>Latin America - Civilization - 21st century</t>
  </si>
  <si>
    <t>Writing off the Hyphen : New Perspectives on the Literature of the Puerto Rican Diaspora</t>
  </si>
  <si>
    <t>https://ebookcentral.proquest.com/lib/viva-active/detail.action?docID=3444396</t>
  </si>
  <si>
    <t>Torres-Padilla, José L.;Rivera, Carmen Haydee;Hayd'e Rivera, Carmen;Torres-Padilla, Jose L;Rivera, Carmen Haydee</t>
  </si>
  <si>
    <t>University of Washington Press</t>
  </si>
  <si>
    <t>American Ethnic and Cultural Studies</t>
  </si>
  <si>
    <t>American literature -- Puerto Rican authors -- History and criticism. ; Puerto Ricans -- United States -- Intellectual life. ; Puerto Rican literature -- History and criticism. ; Puerto Ricans in literature.</t>
  </si>
  <si>
    <t>Enclosed : Conservation, Cattle, and Commerce among the Q'eqchi' Maya Lowlanders</t>
  </si>
  <si>
    <t>https://ebookcentral.proquest.com/lib/viva-active/detail.action?docID=3444454</t>
  </si>
  <si>
    <t>Grandia, Liza;Sivaramakrishnan, K.;Sivaramakrishnan, K.</t>
  </si>
  <si>
    <t>Culture, Place, and Nature Ser.</t>
  </si>
  <si>
    <t>Economics</t>
  </si>
  <si>
    <t>Free trade - Guatemala</t>
  </si>
  <si>
    <t>Stars for Freedom : Hollywood, Black Celebrities, and the Civil Rights Movement</t>
  </si>
  <si>
    <t>https://ebookcentral.proquest.com/lib/viva-active/detail.action?docID=3444643</t>
  </si>
  <si>
    <t>Raymond, Emilie</t>
  </si>
  <si>
    <t>Capell Family Bks.</t>
  </si>
  <si>
    <t>African American political activists -- History -- 20th century. ; African American entertainers -- Political activity -- History -- 20th century. ; Politics and culture -- United States -- History -- 20th century. ; African Americans -- Civil rights -- History -- 20th century. ; United States -- Race relations -- History -- 20th century.</t>
  </si>
  <si>
    <t>Butterfly Boy : Memories of a Chicano Mariposa</t>
  </si>
  <si>
    <t>https://ebookcentral.proquest.com/lib/viva-active/detail.action?docID=3444707</t>
  </si>
  <si>
    <t>Gonza´lez, Rigoberto</t>
  </si>
  <si>
    <t>University of Wisconsin Press</t>
  </si>
  <si>
    <t>Writing in Latinidad: Autobiographical Voices of U. S. Latinos/as Ser.</t>
  </si>
  <si>
    <t>González, Rigoberto. ; Authors, American -- 20th century -- Biography. ; Hispanic American gays -- Biography.</t>
  </si>
  <si>
    <t>San Juan : Memoir of a City</t>
  </si>
  <si>
    <t>https://ebookcentral.proquest.com/lib/viva-active/detail.action?docID=3444793</t>
  </si>
  <si>
    <t xml:space="preserve">Juliá, Edgardo Rodríguez;Grandbois, Peter;Skármeta, Antonio;Vilar, Irene </t>
  </si>
  <si>
    <t>The Americas Ser.</t>
  </si>
  <si>
    <t>Rodríguez Juliá, Edgardo, -- 1946- -- Homes and haunts -- Puerto Rico -- San Juan. ; San Juan (P.R.) -- Description and travel. ; San Juan (P.R.) -- In literature.</t>
  </si>
  <si>
    <t>Scenes from la Cuenca de Los Angeles y Otros Natural Disasters</t>
  </si>
  <si>
    <t>https://ebookcentral.proquest.com/lib/viva-active/detail.action?docID=3444986</t>
  </si>
  <si>
    <t>Chávez-Silverman, Susana;Saint-Amour, Paul K.;Shelton, Michael</t>
  </si>
  <si>
    <t>Chávez-Silverman, Susana. ; Latin Americans -- United States -- Biography.</t>
  </si>
  <si>
    <t>Madre and I : A Memoir of Our Immigrant Lives</t>
  </si>
  <si>
    <t>https://ebookcentral.proquest.com/lib/viva-active/detail.action?docID=3444994</t>
  </si>
  <si>
    <t xml:space="preserve">Reyes, Guillermo A.;Chavez-Silverman, Susana ;Allatson, Paul ;Spitta, Silvia D. ;Campo, Rafael </t>
  </si>
  <si>
    <t>Reyes, Guillermo A. ; Hispanic American gays -- Biography. ; Immigrants -- United States -- Biography.</t>
  </si>
  <si>
    <t>Golpes Bajos : Instanta'neas = Low Blows - Snapshots</t>
  </si>
  <si>
    <t>https://ebookcentral.proquest.com/lib/viva-active/detail.action?docID=3444997</t>
  </si>
  <si>
    <t>Borinsky, Alicia;Franzen, Cola;Wood, Michael Brenna</t>
  </si>
  <si>
    <t>Borinsky, Alicia -- Translations into English. ; Buenos Aires (Argentina) -- Social life and customs -- Fiction.</t>
  </si>
  <si>
    <t>The Plays of Josefina Niggli : Recovered Landmarks of Latino Literature</t>
  </si>
  <si>
    <t>https://ebookcentral.proquest.com/lib/viva-active/detail.action?docID=3445004</t>
  </si>
  <si>
    <t>Niggli, Josephina;Orchard, William;Padilla, Yolanda</t>
  </si>
  <si>
    <t>Mexicans -- Drama. ; Mexico -- Social life and customs -- Drama.</t>
  </si>
  <si>
    <t>Beyond Displacement : Campesinos, Refugees, and Collective Action in the Salvadoran Civil War</t>
  </si>
  <si>
    <t>https://ebookcentral.proquest.com/lib/viva-active/detail.action?docID=3445072</t>
  </si>
  <si>
    <t>Todd, Molly</t>
  </si>
  <si>
    <t>Critical Human Rights Ser.</t>
  </si>
  <si>
    <t>Refugees -- El Salvador. ; El Salvador -- History -- 1979-1992.</t>
  </si>
  <si>
    <t>Almost Home : A Brazilian American's Reflections on Faith, Culture, and Immigration</t>
  </si>
  <si>
    <t>https://ebookcentral.proquest.com/lib/viva-active/detail.action?docID=3445281</t>
  </si>
  <si>
    <t>Cavalcanti, H. B.</t>
  </si>
  <si>
    <t>Negotiating Empire : The Cultural Politics of Schools in Puerto Rico, 1898-1952</t>
  </si>
  <si>
    <t>https://ebookcentral.proquest.com/lib/viva-active/detail.action?docID=3445289</t>
  </si>
  <si>
    <t>Moral, Solsiree del;Moral, Solsiree del</t>
  </si>
  <si>
    <t>Puerto Rico - History - 1898-1952</t>
  </si>
  <si>
    <t>Human Rights and Transnational Solidarity in Cold War Latin America</t>
  </si>
  <si>
    <t>https://ebookcentral.proquest.com/lib/viva-active/detail.action?docID=3445303</t>
  </si>
  <si>
    <t>Mor, Jessica Stites</t>
  </si>
  <si>
    <t>Cold War - Social aspects - Latin America</t>
  </si>
  <si>
    <t>Autobiography of My Hungers</t>
  </si>
  <si>
    <t>https://ebookcentral.proquest.com/lib/viva-active/detail.action?docID=3445313</t>
  </si>
  <si>
    <t xml:space="preserve">González, Rigoberto;Gonzalez, Rigoberto </t>
  </si>
  <si>
    <t>Living Out: Gay and Lesbian Autobiog Ser.</t>
  </si>
  <si>
    <t>Mexican American gays</t>
  </si>
  <si>
    <t>Against the Tide : Immigrants, Day-Laborers, and Community in Jupiter, Florida</t>
  </si>
  <si>
    <t>https://ebookcentral.proquest.com/lib/viva-active/detail.action?docID=3445317</t>
  </si>
  <si>
    <t>Lazo de la Vega, Sandra;Steigenga, Timothy J.</t>
  </si>
  <si>
    <t>Jupiter (Fla.) - Emigration and immigration - Social aspects</t>
  </si>
  <si>
    <t>Goodbye Brazil : Émigrés from the Land of Soccer and Samba</t>
  </si>
  <si>
    <t>https://ebookcentral.proquest.com/lib/viva-active/detail.action?docID=3445340</t>
  </si>
  <si>
    <t>Margolis, Maxine L.</t>
  </si>
  <si>
    <t>Brazilians - Foreign countries</t>
  </si>
  <si>
    <t>Dark Laughter : Spanish Film, Comedy, and the Nation</t>
  </si>
  <si>
    <t>https://ebookcentral.proquest.com/lib/viva-active/detail.action?docID=3445357</t>
  </si>
  <si>
    <t>Egea, Juan F.</t>
  </si>
  <si>
    <t>Wisconsin Film Studies</t>
  </si>
  <si>
    <t>Black humor - Spain</t>
  </si>
  <si>
    <t>Cubans in Angola : South-South Cooperation and Transfer of Knowledge, 1976-1991</t>
  </si>
  <si>
    <t>https://ebookcentral.proquest.com/lib/viva-active/detail.action?docID=3445438</t>
  </si>
  <si>
    <t>Hatzky, Christine;Edmunds-Harrington, Mair</t>
  </si>
  <si>
    <t>Africa and the Diaspora: History, Politics, Culture Ser.</t>
  </si>
  <si>
    <t>Education -- Angola -- International cooperation. ; Literacy -- Angola -- International cooperation. ; Teachers, Foreign -- Angola. ; Angola -- Relations -- Cuba. ; Cuba -- Relations -- Angola.</t>
  </si>
  <si>
    <t>The Social Origins of Human Rights : Protesting Political Violence in Colombia's Oil Capital, 1919-2010</t>
  </si>
  <si>
    <t>https://ebookcentral.proquest.com/lib/viva-active/detail.action?docID=3445455</t>
  </si>
  <si>
    <t>van Isschot, Luis</t>
  </si>
  <si>
    <t>Human rights -- Colombia -- Barrancabermeja. ; Human rights movements -- Colombia. ; Barrancabermeja (Colombia) -- Social conditions. ; Colombia -- Social conditions -- 1970-</t>
  </si>
  <si>
    <t>Our Caribbean Kin : Race and Nation in the Neoliberal Antilles</t>
  </si>
  <si>
    <t>https://ebookcentral.proquest.com/lib/viva-active/detail.action?docID=3565215</t>
  </si>
  <si>
    <t xml:space="preserve">Reyes-Santos, Alaí;Reyes-Santos, Alaai </t>
  </si>
  <si>
    <t>Critical Caribbean Studies</t>
  </si>
  <si>
    <t>West Indies - History - 21st century</t>
  </si>
  <si>
    <t>Drugs, Thugs, and Diplomats : U. S. Policymaking in Colombia</t>
  </si>
  <si>
    <t>https://ebookcentral.proquest.com/lib/viva-active/detail.action?docID=3568942</t>
  </si>
  <si>
    <t xml:space="preserve">Tate, Winifred;Winifred, Tate </t>
  </si>
  <si>
    <t>Anthropology of Policy Ser.</t>
  </si>
  <si>
    <t>Drug control -- United States. ; Drug control -- Colombia. ; Military assistance, American -- Colombia. ; Counterinsurgency -- Colombia. ; Paramilitary forces -- Colombia. ; United States -- Foreign relations -- Colombia. ; Colombia -- Foreign relations -- United States.</t>
  </si>
  <si>
    <t>Mex-Ciné : Mexican Filmmaking, Production, and Consumption in the Twenty-First Century</t>
  </si>
  <si>
    <t>https://ebookcentral.proquest.com/lib/viva-active/detail.action?docID=3570457</t>
  </si>
  <si>
    <t>Aldama, Frederick L.</t>
  </si>
  <si>
    <t>HISTORY / Latin America / Mexico</t>
  </si>
  <si>
    <t>¡Muy Pop! : Conversations on Latino Popular Culture</t>
  </si>
  <si>
    <t>https://ebookcentral.proquest.com/lib/viva-active/detail.action?docID=3570512</t>
  </si>
  <si>
    <t>Aldama, Frederick L.;Stavans, Ilan;Lawrence, Mary S.</t>
  </si>
  <si>
    <t>Political Careers, Corruption, and Impunity : Panama's Assembly, 1984-2009</t>
  </si>
  <si>
    <t>https://ebookcentral.proquest.com/lib/viva-active/detail.action?docID=3571178</t>
  </si>
  <si>
    <t>Guevara Mann, Carlos</t>
  </si>
  <si>
    <t>Legislative bodies--Panama--History.</t>
  </si>
  <si>
    <t>Power in the Balance : Presidents, Parties, and Legislatures in Peru and Beyond</t>
  </si>
  <si>
    <t>https://ebookcentral.proquest.com/lib/viva-active/detail.action?docID=3571181</t>
  </si>
  <si>
    <t>Levitt, Barry S.</t>
  </si>
  <si>
    <t>Executive power--Peru.</t>
  </si>
  <si>
    <t>Forging People : Race, Ethnicity, and Nationality in Hispanic American and Latino/a Thought</t>
  </si>
  <si>
    <t>https://ebookcentral.proquest.com/lib/viva-active/detail.action?docID=3571183</t>
  </si>
  <si>
    <t>Gracia, Jorge J.E.</t>
  </si>
  <si>
    <t>Ethnicity--Latin America--Philosophy--History.</t>
  </si>
  <si>
    <t>Violent Democratization : Social Movements, Elites, and Politics in Colombia's Rural War Zones, 1984-2008</t>
  </si>
  <si>
    <t>https://ebookcentral.proquest.com/lib/viva-active/detail.action?docID=3571194</t>
  </si>
  <si>
    <t>Carroll, Leah Anne</t>
  </si>
  <si>
    <t>Democratization--Colombia.</t>
  </si>
  <si>
    <t>Right to the City : Popular Contention in Contemporary Buenos Aires</t>
  </si>
  <si>
    <t>https://ebookcentral.proquest.com/lib/viva-active/detail.action?docID=3571201</t>
  </si>
  <si>
    <t>Ippolito-O’Donnell, Gabriela</t>
  </si>
  <si>
    <t>Democratization--Argentina--Buenos Aires.</t>
  </si>
  <si>
    <t>Beyond Windrush : Rethinking Postwar Anglophone Caribbean Literature</t>
  </si>
  <si>
    <t>https://ebookcentral.proquest.com/lib/viva-active/detail.action?docID=3571591</t>
  </si>
  <si>
    <t>Brown, J. Dillon;Rosenberg, Leah Reade</t>
  </si>
  <si>
    <t>LITERARY COLLECTIONS / Caribbean &amp; Latin American</t>
  </si>
  <si>
    <t>José Limón and La Malinche : The Dancer and the Dance</t>
  </si>
  <si>
    <t>https://ebookcentral.proquest.com/lib/viva-active/detail.action?docID=3571702</t>
  </si>
  <si>
    <t>Seed, Patricia</t>
  </si>
  <si>
    <t>Limón, José. ; Malinche (Choreographic work : Limón)</t>
  </si>
  <si>
    <t>Feeding the City : From Street Market to Liberal Reform in Salvador, Brazil, 1780-1860</t>
  </si>
  <si>
    <t>https://ebookcentral.proquest.com/lib/viva-active/detail.action?docID=3571748</t>
  </si>
  <si>
    <t>Graham, Richard</t>
  </si>
  <si>
    <t>Produce trade--Brazil--Salvador--History.</t>
  </si>
  <si>
    <t>From the Mines to the Streets : A Bolivian Activist's Life</t>
  </si>
  <si>
    <t>https://ebookcentral.proquest.com/lib/viva-active/detail.action?docID=3571761</t>
  </si>
  <si>
    <t>Kohl, Benjamin;Farthing, Linda C.;Muruchi, Félix</t>
  </si>
  <si>
    <t>Political activists--Bolivia--Biography.</t>
  </si>
  <si>
    <t>Bridging : How Gloria Anzaldúa's Life and Work Transformed Our Own</t>
  </si>
  <si>
    <t>https://ebookcentral.proquest.com/lib/viva-active/detail.action?docID=3571762</t>
  </si>
  <si>
    <t xml:space="preserve">Keating, AnaLouise;González-López, Gloria;Gonzalez-Lopez, Gloria </t>
  </si>
  <si>
    <t>Mexican Americans in literature.</t>
  </si>
  <si>
    <t>Our Lady of Controversy : Alma López's Irreverent Apparition</t>
  </si>
  <si>
    <t>https://ebookcentral.proquest.com/lib/viva-active/detail.action?docID=3571764</t>
  </si>
  <si>
    <t xml:space="preserve">Gaspar de Alba, Alicia;López, Alma;Lopez, Alma </t>
  </si>
  <si>
    <t>Chicana Matters Series</t>
  </si>
  <si>
    <t>Guadalupe, Our Lady of, in art.</t>
  </si>
  <si>
    <t>Lowrider Space : Aesthetics and Politics of Mexican American Custom Cars</t>
  </si>
  <si>
    <t>https://ebookcentral.proquest.com/lib/viva-active/detail.action?docID=3571766</t>
  </si>
  <si>
    <t>Chappell, Ben</t>
  </si>
  <si>
    <t>Automobiles--Social aspects--United States.</t>
  </si>
  <si>
    <t>Natural History of Belize : Inside the Maya Forest</t>
  </si>
  <si>
    <t>https://ebookcentral.proquest.com/lib/viva-active/detail.action?docID=3571769</t>
  </si>
  <si>
    <t>Bridgewater, Samuel</t>
  </si>
  <si>
    <t>Corrie Herring Hooks Series</t>
  </si>
  <si>
    <t>Science: Biology/Natural History; Science: General; Science</t>
  </si>
  <si>
    <t>Natural history--Belize.</t>
  </si>
  <si>
    <t>Native Evangelism in Central Mexico</t>
  </si>
  <si>
    <t>https://ebookcentral.proquest.com/lib/viva-active/detail.action?docID=3571782</t>
  </si>
  <si>
    <t>Nutini, Hugo G.;Nutini, Jean F.</t>
  </si>
  <si>
    <t>Evangelicalism -- Mexico. ; Protestant churches -- Mexico. ; Mexico -- Church history -- 21st century.</t>
  </si>
  <si>
    <t>Argentine, Mexican, and Guatemalan Photography : Feminist, Queer, and Post-Masculinist Perspectives</t>
  </si>
  <si>
    <t>https://ebookcentral.proquest.com/lib/viva-active/detail.action?docID=3571784</t>
  </si>
  <si>
    <t>Photography -- Latin America. ; Photography, Artistic. ; Portrait photography -- Latin America. ; Gender identity -- Latin America. ; Gender identity in art.</t>
  </si>
  <si>
    <t>José Martí : A Revolutionary Life</t>
  </si>
  <si>
    <t>https://ebookcentral.proquest.com/lib/viva-active/detail.action?docID=3571785</t>
  </si>
  <si>
    <t>López, Alfred J.</t>
  </si>
  <si>
    <t>Martí, José, -- 1853-1895. ; Revolutionaries -- Cuba -- Biography. ; Statesmen -- Cuba -- Biography. ; Cuba -- History -- 1878-1895.</t>
  </si>
  <si>
    <t>Discovering the Olmecs : An Unconventional History</t>
  </si>
  <si>
    <t>https://ebookcentral.proquest.com/lib/viva-active/detail.action?docID=3571794</t>
  </si>
  <si>
    <t>Grove, David C.</t>
  </si>
  <si>
    <t>Olmecs -- History. ; Olmecs -- Antiquities. ; Mexico -- Antiquities. ; Mexico -- Civilization -- Indian influences.</t>
  </si>
  <si>
    <t>Cuban in Mayberry : Looking Back at America's Hometown</t>
  </si>
  <si>
    <t>https://ebookcentral.proquest.com/lib/viva-active/detail.action?docID=3571798</t>
  </si>
  <si>
    <t>Andy Griffith show (Television program) ; City and town life on television.</t>
  </si>
  <si>
    <t>Guatemala-U.S. Migration : Transforming Regions</t>
  </si>
  <si>
    <t>https://ebookcentral.proquest.com/lib/viva-active/detail.action?docID=3571803</t>
  </si>
  <si>
    <t>Jonas, Susanne;Rodríguez, Nestor</t>
  </si>
  <si>
    <t>Guatemalans -- United States -- Social conditions. ; Guatemalan Americans -- Social conditions. ; Guatemala -- Emigration and immigration. ; United States -- Emigration and immigration.</t>
  </si>
  <si>
    <t>Impunity, Human Rights, and Democracy : Chile and Argentina, 1990-2005</t>
  </si>
  <si>
    <t>https://ebookcentral.proquest.com/lib/viva-active/detail.action?docID=3571804</t>
  </si>
  <si>
    <t>Impunity -- Chile. ; Human rights -- Chile. ; Democracy -- Chile. ; Impunity -- Argentina. ; Human rights -- Argentina. ; Democracy -- Argentina.</t>
  </si>
  <si>
    <t>Mario Vargas Llosa : A Life of Writing</t>
  </si>
  <si>
    <t>https://ebookcentral.proquest.com/lib/viva-active/detail.action?docID=3571806</t>
  </si>
  <si>
    <t>Williams, Raymond Leslie</t>
  </si>
  <si>
    <t>Vargas Llosa, Mario, -- 1936- -- Criticism and interpretation.</t>
  </si>
  <si>
    <t>Critical Approaches to the Films of Robert Rodriguez</t>
  </si>
  <si>
    <t>https://ebookcentral.proquest.com/lib/viva-active/detail.action?docID=3571816</t>
  </si>
  <si>
    <t>Aldama, Frederick Luis;Rodriguez, Alvaro</t>
  </si>
  <si>
    <t>Rodriguez, Robert, -- 1968- -- Criticism and interpretation.</t>
  </si>
  <si>
    <t>Borderlands of Race : Mexican Segregation in a South Texas Town</t>
  </si>
  <si>
    <t>https://ebookcentral.proquest.com/lib/viva-active/detail.action?docID=3571820</t>
  </si>
  <si>
    <t>Nájera, Jennifer R.</t>
  </si>
  <si>
    <t>Mexican Americans -- Segregation -- Texas -- La Feria -- History -- 20th century. ; Mexican Americans -- Civil rights -- Texas -- La Feria -- History -- 20th century. ; Mexican Americans -- Texas -- La Feria -- Biography. ; Race discrimination -- Texas -- La Feria -- History -- 20th century.</t>
  </si>
  <si>
    <t>Cinema, Slavery, and Brazilian Nationalism</t>
  </si>
  <si>
    <t>https://ebookcentral.proquest.com/lib/viva-active/detail.action?docID=3571825</t>
  </si>
  <si>
    <t>Gordon, Richard A.</t>
  </si>
  <si>
    <t>Cognitive Approaches to Literature and Culture Series</t>
  </si>
  <si>
    <t>Slavery in motion pictures. ; Nationalism in motion pictures. ; Motion pictures -- Political aspects -- Brazil. ; Motion pictures -- Social aspects -- Brazil.</t>
  </si>
  <si>
    <t>Rainforest Cowboys : The Rise of Ranching and Cattle Culture in Western Amazonia</t>
  </si>
  <si>
    <t>https://ebookcentral.proquest.com/lib/viva-active/detail.action?docID=3571827</t>
  </si>
  <si>
    <t>Hoelle, Jeffrey</t>
  </si>
  <si>
    <t>Latin American and Caribbean Arts and Culture Publication Initiative</t>
  </si>
  <si>
    <t>Beef cattle -- Environmental aspects -- Brazil -- Acre. ; Ranching -- Environmental aspects -- Brazil -- Acre. ; Deforestation -- Brazil -- Acre. ; Human ecology -- Brazil -- Acre.</t>
  </si>
  <si>
    <t>Border Contraband : A History of Smuggling Across the Rio Grande</t>
  </si>
  <si>
    <t>https://ebookcentral.proquest.com/lib/viva-active/detail.action?docID=3571828</t>
  </si>
  <si>
    <t>Díaz, George T.</t>
  </si>
  <si>
    <t>Inter-America Series</t>
  </si>
  <si>
    <t>Smuggling -- Mexican-American Border Region -- History. ; Rio Grande (Colo.-Mexico and Tex.) -- History. ; Mexican-American Border Region -- History.</t>
  </si>
  <si>
    <t>Chicana Lives and Criminal Justice : Voices from El Barrio</t>
  </si>
  <si>
    <t>https://ebookcentral.proquest.com/lib/viva-active/detail.action?docID=3571874</t>
  </si>
  <si>
    <t>Díaz-Cotto, Juanita</t>
  </si>
  <si>
    <t>Women prisoners -- California. ; Female offenders -- California. ; Mexican American women -- California -- Biography. ; Mexican American women -- California -- Social conditions.</t>
  </si>
  <si>
    <t>Modern Architecture in Latin America : Art, Technology, and Utopia</t>
  </si>
  <si>
    <t>https://ebookcentral.proquest.com/lib/viva-active/detail.action?docID=3571917</t>
  </si>
  <si>
    <t>Carranza, Luis E.;Lara, Fernando Luiz</t>
  </si>
  <si>
    <t>Border Odyssey : Travels along the U.S./Mexico Divide</t>
  </si>
  <si>
    <t>https://ebookcentral.proquest.com/lib/viva-active/detail.action?docID=3571918</t>
  </si>
  <si>
    <t>Thompson, Charles D.</t>
  </si>
  <si>
    <t>Thompson, Charles D., -- Jr. -- (Charles Dillard), -- 1956- -- Travel. ; Mexican-American Border Region. ; United States -- Foreign relations -- Mexico. ; Mexico -- Foreign relations -- United States.</t>
  </si>
  <si>
    <t>Right to Health : Medicine, Marginality, and Health Care Reform in Northeastern Brazil</t>
  </si>
  <si>
    <t>https://ebookcentral.proquest.com/lib/viva-active/detail.action?docID=3571925</t>
  </si>
  <si>
    <t>Jerome, Jessica Scott</t>
  </si>
  <si>
    <t>Health care reform -- History -- Brazil. ; Medical care -- Brazil. ; Medical policy -- History -- Brazil.</t>
  </si>
  <si>
    <t>Urban Space as Heritage in Late Colonial Cuba : Classicism and Dissonance on the Plaza de Armas of Havana, 1754-1828</t>
  </si>
  <si>
    <t>https://ebookcentral.proquest.com/lib/viva-active/detail.action?docID=3571928</t>
  </si>
  <si>
    <t>Niell, Paul</t>
  </si>
  <si>
    <t>Fine Arts; Architecture</t>
  </si>
  <si>
    <t>Architecture, Colonial -- Cuba -- Havana. ; Cultural property -- Cuba -- Havana. ; Architecture and society -- Cuba -- Havana -- History -- 18th century. ; Architecture and society -- Cuba -- Havana -- History -- 19th century. ; Plaza de Armas (Havana, Cuba) -- History.</t>
  </si>
  <si>
    <t>Edge of Empire : Atlantic Networks and Revolution in Bourbon Río de la Plata</t>
  </si>
  <si>
    <t>https://ebookcentral.proquest.com/lib/viva-active/detail.action?docID=4001393</t>
  </si>
  <si>
    <t>Prado, Fabrício</t>
  </si>
  <si>
    <t>Rio de la Plata Region (Argentina and Uruguay) -- Economic conditions -- 18th century. ; Río de la Plata Region (Argentina and Uruguay) -- History -- 18th century.</t>
  </si>
  <si>
    <t>Building a Nation : Caribbean Federation in the Black Diaspora</t>
  </si>
  <si>
    <t>https://ebookcentral.proquest.com/lib/viva-active/detail.action?docID=4012413</t>
  </si>
  <si>
    <t>Duke, Eric D.</t>
  </si>
  <si>
    <t>Blacks -- Caribbean Area -- History. ; Blacks -- Latin America -- History. ; African diaspora.</t>
  </si>
  <si>
    <t>Priest under Fire : Padre David Rodriguez, the Catholic Church, and el Salvador's Revolutionary Movement</t>
  </si>
  <si>
    <t>https://ebookcentral.proquest.com/lib/viva-active/detail.action?docID=4012417</t>
  </si>
  <si>
    <t>Sánchez, Peter M.</t>
  </si>
  <si>
    <t>Catholic Church - El Salvador - Clergy</t>
  </si>
  <si>
    <t>Cancionero : Songs of Laughter and Faith in New Mexico</t>
  </si>
  <si>
    <t>https://ebookcentral.proquest.com/lib/viva-active/detail.action?docID=4012439</t>
  </si>
  <si>
    <t>Robb, John Donald;Bratcher, James;McCulloch, Frank, Jr.</t>
  </si>
  <si>
    <t>Folk songs, Spanish -- New Mexico.</t>
  </si>
  <si>
    <t>Beyond Geopolitics : New Histories of Latin America at the League of Nations</t>
  </si>
  <si>
    <t>https://ebookcentral.proquest.com/lib/viva-active/detail.action?docID=4012442</t>
  </si>
  <si>
    <t>McPherson, Alan;Wehrli, Yannick</t>
  </si>
  <si>
    <t>League of Nations -- History. ; Political leadership -- Latin America -- History -- 20th century. ; World politics -- 1900-1945. ; International relations -- History -- 20th century. ; Latin America -- Foreign relations -- 20th century.</t>
  </si>
  <si>
    <t>Amada's Blessings from the Peyote Gardens of South Texas</t>
  </si>
  <si>
    <t>https://ebookcentral.proquest.com/lib/viva-active/detail.action?docID=4012484</t>
  </si>
  <si>
    <t>Schaefer, Stacy B.</t>
  </si>
  <si>
    <t>Cardenas, Amada. ; Native American Church of North America. ; Mexican American women -- Biography. ; Mexican Americans -- Social life and customs. ; Mexican Americans -- Religion. ; Peyotism.</t>
  </si>
  <si>
    <t>On the Line : Slaughterhouse Lives and the Making of the New South</t>
  </si>
  <si>
    <t>https://ebookcentral.proquest.com/lib/viva-active/detail.action?docID=4068975</t>
  </si>
  <si>
    <t>Ribas, Vanesa</t>
  </si>
  <si>
    <t>Racism in the workplace - North Carolina</t>
  </si>
  <si>
    <t>The Para-State : An Ethnography of Colombia's Death Squads</t>
  </si>
  <si>
    <t>https://ebookcentral.proquest.com/lib/viva-active/detail.action?docID=4068985</t>
  </si>
  <si>
    <t>Civico, Aldo</t>
  </si>
  <si>
    <t>Death squads - Colombia</t>
  </si>
  <si>
    <t>Latin American Cinema : A Comparative History</t>
  </si>
  <si>
    <t>https://ebookcentral.proquest.com/lib/viva-active/detail.action?docID=4068997</t>
  </si>
  <si>
    <t>Schroeder Rodríguez, Paul A.</t>
  </si>
  <si>
    <t>Motion picture industry - Latin America - History</t>
  </si>
  <si>
    <t>A Caribbean Forest Tapestry : The Multidimensional Nature of Disturbance and Response</t>
  </si>
  <si>
    <t>https://ebookcentral.proquest.com/lib/viva-active/detail.action?docID=4083520</t>
  </si>
  <si>
    <t>Brokaw, Nicholas;Crowl, Todd;Lugo, Ariel;McDowell, William;Scatena, Frederick;Waide, Robert;Willig, Michael</t>
  </si>
  <si>
    <t>Long-Term Ecological Research Network Ser.</t>
  </si>
  <si>
    <t>Luquillo Mountains (P.R.) - Environmental conditions</t>
  </si>
  <si>
    <t>Legacies of State Violence and Transitional Justice in Latin America : A Janus-Faced Paradigm?</t>
  </si>
  <si>
    <t>https://ebookcentral.proquest.com/lib/viva-active/detail.action?docID=4086495</t>
  </si>
  <si>
    <t>Global South Study Center (GSSC), University of Cologne;Esparza, Marcia;Dobransky, Steve;Layus, Rosario Figari;Gargarella, Roberto;Santos, Cecília MacDowell;Peña, Jesus;Quinalha, Renan;Rojas, Percy;Sharnak, Debbie</t>
  </si>
  <si>
    <t>Violence (Law) - Latin America</t>
  </si>
  <si>
    <t>Bolivian Labor Immigrants' Experiences in Argentina</t>
  </si>
  <si>
    <t>https://ebookcentral.proquest.com/lib/viva-active/detail.action?docID=4086497</t>
  </si>
  <si>
    <t>Pizarro, Cynthia;Ataide, Soraya;Basualdo, María Lourdes;Benencia, Roberto;Ciarallo, Ana María;Ferreiro, Mariana;Magliano, María José;Mallimaci Barral, Ana Inés;Moreno, Marta Silvia;Pizarro, Cynthia</t>
  </si>
  <si>
    <t>Bolivians - Argentina - Social conditions</t>
  </si>
  <si>
    <t>Macho Men and Modern Women : Mexican Immigration, Social Experts and Changing Family Values in the 20th Century United States</t>
  </si>
  <si>
    <t>https://ebookcentral.proquest.com/lib/viva-active/detail.action?docID=4179728</t>
  </si>
  <si>
    <t>Roesch, Claudia</t>
  </si>
  <si>
    <t>Walter de Gruyter GmbH</t>
  </si>
  <si>
    <t>Family Values and Social Change Ser.</t>
  </si>
  <si>
    <t>Mexico--Emigration and immigration--Social aspects.</t>
  </si>
  <si>
    <t>Democratic Latin America</t>
  </si>
  <si>
    <t>https://ebookcentral.proquest.com/lib/viva-active/detail.action?docID=4185909</t>
  </si>
  <si>
    <t>Arceneaux, Craig</t>
  </si>
  <si>
    <t>College Completion for Latino/a Students: Institutional and System Approaches</t>
  </si>
  <si>
    <t>https://ebookcentral.proquest.com/lib/viva-active/detail.action?docID=4187377</t>
  </si>
  <si>
    <t>Freeman, Melissa L.;Martinez, Magdalena</t>
  </si>
  <si>
    <t>J-B HE Single Issue Higher Education Ser.</t>
  </si>
  <si>
    <t>Hispanic Americans--Education (Higher)</t>
  </si>
  <si>
    <t>Emergency Politics in the Third Wave of Democracy : A Study of Regimes of Exception in Bolivia, Ecuador, and Peru</t>
  </si>
  <si>
    <t>https://ebookcentral.proquest.com/lib/viva-active/detail.action?docID=4206529</t>
  </si>
  <si>
    <t>Wright, Claire</t>
  </si>
  <si>
    <t>Crisis management in government</t>
  </si>
  <si>
    <t>On the Edge of the Holocaust : The Shoah in Latin American Literature and Culture</t>
  </si>
  <si>
    <t>https://ebookcentral.proquest.com/lib/viva-active/detail.action?docID=4227820</t>
  </si>
  <si>
    <t>Aizenberg, Edna</t>
  </si>
  <si>
    <t>Brandeis University Press</t>
  </si>
  <si>
    <t>Brandeis Library of Modern Jewish Thought</t>
  </si>
  <si>
    <t>Latin American literature--20th century--History and criticism.</t>
  </si>
  <si>
    <t>Living Together, Living Apart : Mixed Status Families and US Immigration Policy</t>
  </si>
  <si>
    <t>https://ebookcentral.proquest.com/lib/viva-active/detail.action?docID=4305965</t>
  </si>
  <si>
    <t>Schueths, April;Lawston, Jodie;Romero, Mary;Romero, Mary</t>
  </si>
  <si>
    <t>United States--Emigration and immigration--Government policy.</t>
  </si>
  <si>
    <t>Argentinian Telenovelas : Southern Sagas Rewrite Social and Political Reality</t>
  </si>
  <si>
    <t>https://ebookcentral.proquest.com/lib/viva-active/detail.action?docID=4306789</t>
  </si>
  <si>
    <t>Aharoni, Gabriela Jonas</t>
  </si>
  <si>
    <t>Television soap operas--Argentina--History and criticism.</t>
  </si>
  <si>
    <t>Volunteering for a Cause : Gender, Faith, and Charity in Mexico from the Reform to the Revolution</t>
  </si>
  <si>
    <t>https://ebookcentral.proquest.com/lib/viva-active/detail.action?docID=4312684</t>
  </si>
  <si>
    <t>Arrom, Silvia Marina</t>
  </si>
  <si>
    <t>Women in church work--Catholic Church.</t>
  </si>
  <si>
    <t>Marching Students : Chicana and Chicano Activism in Education, 1968 to the Present</t>
  </si>
  <si>
    <t>https://ebookcentral.proquest.com/lib/viva-active/detail.action?docID=4312776</t>
  </si>
  <si>
    <t>Berta-Avila, Margarita;Tijerina-Revilla, Anita;Figueroa, Julie</t>
  </si>
  <si>
    <t>University of Nevada Press</t>
  </si>
  <si>
    <t>United States--Ethnic relations.</t>
  </si>
  <si>
    <t>Reading Junot Diaz</t>
  </si>
  <si>
    <t>https://ebookcentral.proquest.com/lib/viva-active/detail.action?docID=4312796</t>
  </si>
  <si>
    <t>Gonzalez, Christopher</t>
  </si>
  <si>
    <t>Latinx and Latin American Profiles Ser.</t>
  </si>
  <si>
    <t>Daiaz, Junot - Criticism and interpretation</t>
  </si>
  <si>
    <t>Undocumented Latino Youth : Navigating Their Worlds</t>
  </si>
  <si>
    <t>https://ebookcentral.proquest.com/lib/viva-active/detail.action?docID=4352955</t>
  </si>
  <si>
    <t>Clark-Ibáñez, Marisol</t>
  </si>
  <si>
    <t>Latinos: Exploring Diversity and Change Ser.</t>
  </si>
  <si>
    <t>Latin Americans--United States.</t>
  </si>
  <si>
    <t>Democratic Chile : The Politics and Policies of a Historic Coalition, 1990-2010</t>
  </si>
  <si>
    <t>https://ebookcentral.proquest.com/lib/viva-active/detail.action?docID=4352960</t>
  </si>
  <si>
    <t>Sehnbruch, Kirsten;Siavelis, Peter M.</t>
  </si>
  <si>
    <t>Chile--History--1988-</t>
  </si>
  <si>
    <t>Haiti : Trapped in the Outer Periphery</t>
  </si>
  <si>
    <t>https://ebookcentral.proquest.com/lib/viva-active/detail.action?docID=4352982</t>
  </si>
  <si>
    <t>Fatton, Robert Jr.</t>
  </si>
  <si>
    <t>Haiti - Politics and government - 21st century</t>
  </si>
  <si>
    <t>Whose Man in Havana? : Adventures from the Far Side of Diplomacy</t>
  </si>
  <si>
    <t>https://ebookcentral.proquest.com/lib/viva-active/detail.action?docID=4384387</t>
  </si>
  <si>
    <t>Graham, John W.;Bothwell, Robert</t>
  </si>
  <si>
    <t>Latin American and Caribbean Ser.</t>
  </si>
  <si>
    <t>Diplomats--Canada--Biography.</t>
  </si>
  <si>
    <t>The Black Christ of Esquipulas : Religion and Identity in Guatemala</t>
  </si>
  <si>
    <t>https://ebookcentral.proquest.com/lib/viva-active/detail.action?docID=4386246</t>
  </si>
  <si>
    <t>Sullivan-Gonzalez, Douglass</t>
  </si>
  <si>
    <t>Esquipulas (Guatemala) - Church history</t>
  </si>
  <si>
    <t>Captured Peace : Elites and Peacebuilding in El Salvador</t>
  </si>
  <si>
    <t>https://ebookcentral.proquest.com/lib/viva-active/detail.action?docID=4386514</t>
  </si>
  <si>
    <t>Wade, Christine J.</t>
  </si>
  <si>
    <t>Alianza Republicana Nacionalista (El Salvador)</t>
  </si>
  <si>
    <t>Brokered Boundaries : Immigrant Identity in Anti-Immigrant Times</t>
  </si>
  <si>
    <t>https://ebookcentral.proquest.com/lib/viva-active/detail.action?docID=4386931</t>
  </si>
  <si>
    <t>Massey, Douglas S.;Sanchez R., Magaly</t>
  </si>
  <si>
    <t>Russell Sage Foundation</t>
  </si>
  <si>
    <t>Assimilation (Sociology) - United States</t>
  </si>
  <si>
    <t>Evita, Inevitably : Performing Argentina's Female Icons Before and after Eva Perón</t>
  </si>
  <si>
    <t>https://ebookcentral.proquest.com/lib/viva-active/detail.action?docID=4388362</t>
  </si>
  <si>
    <t>Graham-Jones, Jean</t>
  </si>
  <si>
    <t>Peraon, Eva - In mass media</t>
  </si>
  <si>
    <t>Contingency and Commitment : Mexican Existentialism and the Place of Philosophy</t>
  </si>
  <si>
    <t>https://ebookcentral.proquest.com/lib/viva-active/detail.action?docID=4396644</t>
  </si>
  <si>
    <t>Sánchez, Carlos Alberto</t>
  </si>
  <si>
    <t>SUNY series in Latin American and Iberian Thought and Culture</t>
  </si>
  <si>
    <t>Mexico--Intellectual life--20th century.</t>
  </si>
  <si>
    <t>City of Islands : Caribbean Intellectuals in New York</t>
  </si>
  <si>
    <t>https://ebookcentral.proquest.com/lib/viva-active/detail.action?docID=4397136</t>
  </si>
  <si>
    <t>Brown, Tammy L.</t>
  </si>
  <si>
    <t>West Indian Americans - New York (State) - New York - Intellectual life</t>
  </si>
  <si>
    <t>Privateers of the Americas : Spanish American Privateering from the United States in the Early Republic</t>
  </si>
  <si>
    <t>https://ebookcentral.proquest.com/lib/viva-active/detail.action?docID=4397166</t>
  </si>
  <si>
    <t>Head, David</t>
  </si>
  <si>
    <t>Early American Places</t>
  </si>
  <si>
    <t>History; Military Science</t>
  </si>
  <si>
    <t>United States - Relations - Spain - History - 19th century</t>
  </si>
  <si>
    <t>Photopoetics at Tlatelolco : Afterimages of Mexico, 1968</t>
  </si>
  <si>
    <t>https://ebookcentral.proquest.com/lib/viva-active/detail.action?docID=4397273</t>
  </si>
  <si>
    <t>Steinberg, Samuel</t>
  </si>
  <si>
    <t>Border Hispanisms</t>
  </si>
  <si>
    <t>Documentary films - Mexico - History - 20th century</t>
  </si>
  <si>
    <t>Cuban Underground Hip Hop : Black Thoughts, Black Revolution, Black Modernity</t>
  </si>
  <si>
    <t>https://ebookcentral.proquest.com/lib/viva-active/detail.action?docID=4397275</t>
  </si>
  <si>
    <t>Saunders, Tanya L.</t>
  </si>
  <si>
    <t>Blacks - Political activity - Cuba</t>
  </si>
  <si>
    <t>The Color of Love : Racial Features, Stigma, and Socialization in Black Brazilian Families</t>
  </si>
  <si>
    <t>https://ebookcentral.proquest.com/lib/viva-active/detail.action?docID=4397278</t>
  </si>
  <si>
    <t>Hordge-Freeman, Elizabeth</t>
  </si>
  <si>
    <t>Blacks - Socialization - Brazil</t>
  </si>
  <si>
    <t>Violence and Resilience in Latin American Cities</t>
  </si>
  <si>
    <t>https://ebookcentral.proquest.com/lib/viva-active/detail.action?docID=4397400</t>
  </si>
  <si>
    <t>Koonings, Kees;Kruijt, Dirk</t>
  </si>
  <si>
    <t>Resilience (Personality trait)</t>
  </si>
  <si>
    <t>Venezuela Reframed : Bolivarianism, Indigenous Peoples and Socialisms of the Twenty-First Century</t>
  </si>
  <si>
    <t>https://ebookcentral.proquest.com/lib/viva-active/detail.action?docID=4397405</t>
  </si>
  <si>
    <t>Angosto-Ferrández, Luis Fernando</t>
  </si>
  <si>
    <t>Venezuela--Politics and government.</t>
  </si>
  <si>
    <t>A Fragmented Continent : Latin America and the Global Politics of Climate Change</t>
  </si>
  <si>
    <t>https://ebookcentral.proquest.com/lib/viva-active/detail.action?docID=4397940</t>
  </si>
  <si>
    <t>Edwards, Guy;Roberts, J. Timmons;Lagos, Ricardo;Haas, Peter M.;Jasanoff, Sheila</t>
  </si>
  <si>
    <t>Politics, Science, and the Environment Ser.</t>
  </si>
  <si>
    <t>Environmental Studies; Science; Science: Physics</t>
  </si>
  <si>
    <t>Climatic changes - Government policy - Latin America</t>
  </si>
  <si>
    <t>Becoming Neapolitan : Citizen Culture in Baroque Naples</t>
  </si>
  <si>
    <t>https://ebookcentral.proquest.com/lib/viva-active/detail.action?docID=4398342</t>
  </si>
  <si>
    <t>Marino, John A.</t>
  </si>
  <si>
    <t>Naples (Italy)--History--1503-1734.</t>
  </si>
  <si>
    <t>The Resurgence of the Latin American Left</t>
  </si>
  <si>
    <t>https://ebookcentral.proquest.com/lib/viva-active/detail.action?docID=4398397</t>
  </si>
  <si>
    <t>Levitsky, Steven;Roberts, Kenneth M.</t>
  </si>
  <si>
    <t>New Left - Latin America</t>
  </si>
  <si>
    <t>American Crossings : Border Politics in the Western Hemisphere</t>
  </si>
  <si>
    <t>https://ebookcentral.proquest.com/lib/viva-active/detail.action?docID=4398484</t>
  </si>
  <si>
    <t>Jaskoski, Maiah;Sotomayor, Arturo C.;Trinkunas, Harold A.</t>
  </si>
  <si>
    <t>Boundary disputes - America</t>
  </si>
  <si>
    <t>Macroeconomics and Development : Roberto Frenkel and the Economics of Latin America</t>
  </si>
  <si>
    <t>https://ebookcentral.proquest.com/lib/viva-active/detail.action?docID=4398618</t>
  </si>
  <si>
    <t>Damill, Mario;Rapetti, Martín;Rozenwurcel, Guillermo</t>
  </si>
  <si>
    <t>Initiative for Policy Dialogue at Columbia: Challenges in Development and Globalization</t>
  </si>
  <si>
    <t>Frenkel, Roberto</t>
  </si>
  <si>
    <t>Despite All Adversities : Spanish-American Queer Cinema</t>
  </si>
  <si>
    <t>https://ebookcentral.proquest.com/lib/viva-active/detail.action?docID=4398763</t>
  </si>
  <si>
    <t>Lema-Hincapié, Andrés;Castillo, Debra A.</t>
  </si>
  <si>
    <t>Gays in motion pictures</t>
  </si>
  <si>
    <t>Afro-Paradise : Blackness, Violence, and Performance in Brazil</t>
  </si>
  <si>
    <t>https://ebookcentral.proquest.com/lib/viva-active/detail.action?docID=4401391</t>
  </si>
  <si>
    <t>Smith, Christen A.</t>
  </si>
  <si>
    <t>Blacks - Crimes against - Brazil - Salvador</t>
  </si>
  <si>
    <t>The Limits of Identity : Politics and Poetics in Latin America</t>
  </si>
  <si>
    <t>https://ebookcentral.proquest.com/lib/viva-active/detail.action?docID=4401774</t>
  </si>
  <si>
    <t>Hatfield, Charles</t>
  </si>
  <si>
    <t>Group identity - Latin America</t>
  </si>
  <si>
    <t>Practically Invisible : Coastal Ecuador, Tourism, and the Politics of Authenticity</t>
  </si>
  <si>
    <t>https://ebookcentral.proquest.com/lib/viva-active/detail.action?docID=4401783</t>
  </si>
  <si>
    <t>Smith, Kimbra</t>
  </si>
  <si>
    <t>Manta Indians-Ecuador-Agua Blanca. ; Manta Indians-Ethnic identity.</t>
  </si>
  <si>
    <t>Ensuring the Success of Latino Males in Higher Education</t>
  </si>
  <si>
    <t>https://ebookcentral.proquest.com/lib/viva-active/detail.action?docID=4410185</t>
  </si>
  <si>
    <t>Sáenz, Victor B.;Ponjuán, Luis;Sáenz, Victor B.;Ponjuán, Luis;Figueroa, Julie L.;Serrata, Willliam</t>
  </si>
  <si>
    <t>Hispanic American men--Education (Higher)</t>
  </si>
  <si>
    <t>Born of Resistance : Cara a Cara Encounters with Chicana/o Visual Culture</t>
  </si>
  <si>
    <t>https://ebookcentral.proquest.com/lib/viva-active/detail.action?docID=4412494</t>
  </si>
  <si>
    <t>Baugh, Scott L.;Sorell, Victor A.</t>
  </si>
  <si>
    <t>Mexican American art - Political aspects</t>
  </si>
  <si>
    <t>For All of Humanity : Mesoamerican and Colonial Medicine in Enlightenment Guatemala</t>
  </si>
  <si>
    <t>https://ebookcentral.proquest.com/lib/viva-active/detail.action?docID=4412495</t>
  </si>
  <si>
    <t>Few, Martha</t>
  </si>
  <si>
    <t>Indians of Central America - Medicine - Guatemala</t>
  </si>
  <si>
    <t>The el Mozote Massacre : Human Rights and Global Implications Revised and Expanded Edition</t>
  </si>
  <si>
    <t>https://ebookcentral.proquest.com/lib/viva-active/detail.action?docID=4412550</t>
  </si>
  <si>
    <t>El Mozote Massacre, El Mozote, El Salvador, 1981</t>
  </si>
  <si>
    <t>How Myth Became History : Texas Exceptionalism in the Borderlands</t>
  </si>
  <si>
    <t>https://ebookcentral.proquest.com/lib/viva-active/detail.action?docID=4412551</t>
  </si>
  <si>
    <t>Dean, John E.</t>
  </si>
  <si>
    <t>Nationalism and literature</t>
  </si>
  <si>
    <t>Fatal Love : Spousal Killers, Law, and Punishment in the Late Colonial Spanish Atlantic</t>
  </si>
  <si>
    <t>https://ebookcentral.proquest.com/lib/viva-active/detail.action?docID=4414740</t>
  </si>
  <si>
    <t>Uribe-Uran, Victor</t>
  </si>
  <si>
    <t>Uxoricide--Mexico--History.</t>
  </si>
  <si>
    <t>The Politics of Local Participatory Democracy in Latin America : Institutions, Actors, and Interactions</t>
  </si>
  <si>
    <t>https://ebookcentral.proquest.com/lib/viva-active/detail.action?docID=4414744</t>
  </si>
  <si>
    <t>Montambeault, Françoise</t>
  </si>
  <si>
    <t>Local government--Mexico--Citizen participation--Case studies.</t>
  </si>
  <si>
    <t>Cities, Business, and the Politics of Urban Violence in Latin America</t>
  </si>
  <si>
    <t>https://ebookcentral.proquest.com/lib/viva-active/detail.action?docID=4414755</t>
  </si>
  <si>
    <t>Moncada, Eduardo</t>
  </si>
  <si>
    <t>Urban violence--Colombia--Case studies.</t>
  </si>
  <si>
    <t>Reading Rio de Janeiro : Literature and Society in the Nineteenth Century</t>
  </si>
  <si>
    <t>https://ebookcentral.proquest.com/lib/viva-active/detail.action?docID=4414770</t>
  </si>
  <si>
    <t>Frank, Zephyr</t>
  </si>
  <si>
    <t>Rio de Janeiro (Brazil)--Social conditions--19th century.</t>
  </si>
  <si>
    <t>Participatory Democracy in Brazil : Socioeconomic and Political Origins</t>
  </si>
  <si>
    <t>https://ebookcentral.proquest.com/lib/viva-active/detail.action?docID=4415176</t>
  </si>
  <si>
    <t>Tranjan, J. Ricardo</t>
  </si>
  <si>
    <t>Local government - Latin America - Citizen participation</t>
  </si>
  <si>
    <t>Eclipse of the Assassins : The CIA, Imperial Politics, and the Slaying of Mexican Journalist Manuel Buendía</t>
  </si>
  <si>
    <t>https://ebookcentral.proquest.com/lib/viva-active/detail.action?docID=4416654</t>
  </si>
  <si>
    <t>Bartley, Russell H.;Bartley, Sylvia Erickson</t>
  </si>
  <si>
    <t>Espionage, American - Mexico</t>
  </si>
  <si>
    <t>Just Neighbors? : Research on African American and Latino Relations in the United States</t>
  </si>
  <si>
    <t>https://ebookcentral.proquest.com/lib/viva-active/detail.action?docID=4417086</t>
  </si>
  <si>
    <t>Telles, Edward;Sawyer, Mark;Rivera-Salgado, Gaspar</t>
  </si>
  <si>
    <t>United States--Race relations.</t>
  </si>
  <si>
    <t>Keeping the Immigrant Bargain : The Costs and Rewards of Success in America</t>
  </si>
  <si>
    <t>https://ebookcentral.proquest.com/lib/viva-active/detail.action?docID=4417098</t>
  </si>
  <si>
    <t>Louie, Vivian</t>
  </si>
  <si>
    <t>American Dream</t>
  </si>
  <si>
    <t>Nashville in the New Millennium : Immigrant Settlement, Urban Transformation, and Social Belonging</t>
  </si>
  <si>
    <t>https://ebookcentral.proquest.com/lib/viva-active/detail.action?docID=4417109</t>
  </si>
  <si>
    <t>Winders, Jamie</t>
  </si>
  <si>
    <t>Nashville (Tenn.)--Emigration and immigration--Government policy.</t>
  </si>
  <si>
    <t>The Lima Inquisition : The Plight of Crypto-Jews in Seventeenth-Century Peru</t>
  </si>
  <si>
    <t>https://ebookcentral.proquest.com/lib/viva-active/detail.action?docID=4417142</t>
  </si>
  <si>
    <t>Schaposchnik, Ana E.</t>
  </si>
  <si>
    <t>Crypto-Jews - Peru - History - 17th century</t>
  </si>
  <si>
    <t>Mexicanos : A History of Mexicans in the United States</t>
  </si>
  <si>
    <t>https://ebookcentral.proquest.com/lib/viva-active/detail.action?docID=4420861</t>
  </si>
  <si>
    <t>Gonzales, Manuel G.</t>
  </si>
  <si>
    <t>Mexican Americans--History.</t>
  </si>
  <si>
    <t>The Politics and Poetics of Sor Juana inés de la Cruz</t>
  </si>
  <si>
    <t>https://ebookcentral.proquest.com/lib/viva-active/detail.action?docID=4435690</t>
  </si>
  <si>
    <t>Thomas, George Antony</t>
  </si>
  <si>
    <t>Women and Gender in the Early Modern World Ser.</t>
  </si>
  <si>
    <t>Juana Inés de la Cruz,-Sister,-1651-1695-Criticism and interpretation. ; Mexican literature-17th century-History and criticism.</t>
  </si>
  <si>
    <t>Politics, Culture, and Sociability in the Basque Nationalist Party</t>
  </si>
  <si>
    <t>https://ebookcentral.proquest.com/lib/viva-active/detail.action?docID=4438512</t>
  </si>
  <si>
    <t>Vazquez, Roland</t>
  </si>
  <si>
    <t>The Basque Series</t>
  </si>
  <si>
    <t>Pais Vasco (Spain)--Politics and government.</t>
  </si>
  <si>
    <t>The Latina/o Pathway to the Ph. D. : Abriendo Caminos</t>
  </si>
  <si>
    <t>https://ebookcentral.proquest.com/lib/viva-active/detail.action?docID=4438571</t>
  </si>
  <si>
    <t>Castellanos, Jeanett;Gloria, Alberta M.;Kamimura, Mark;Garza, Hector;Vasquez, Melba</t>
  </si>
  <si>
    <t>Chicana/o and Latina/o Fiction : The New Memory of Latinidad</t>
  </si>
  <si>
    <t>https://ebookcentral.proquest.com/lib/viva-active/detail.action?docID=4443558</t>
  </si>
  <si>
    <t>Irizarry, Ylce</t>
  </si>
  <si>
    <t>Criticism, interpretation, etc</t>
  </si>
  <si>
    <t>Securing Sex : Morality and Repression in the Making of Cold War Brazil</t>
  </si>
  <si>
    <t>https://ebookcentral.proquest.com/lib/viva-active/detail.action?docID=4443606</t>
  </si>
  <si>
    <t>Cowan, Benjamin A.</t>
  </si>
  <si>
    <t>Conservatism - Brazil - History - 20th century</t>
  </si>
  <si>
    <t>Making a Life in Multiethnic Miami : Immigration and the Rise of a Global City</t>
  </si>
  <si>
    <t>https://ebookcentral.proquest.com/lib/viva-active/detail.action?docID=4451541</t>
  </si>
  <si>
    <t>Aranda, Elizabeth M.;Hughes, Sallie;Saboga, Elena</t>
  </si>
  <si>
    <t>Immigrants--Florida--Miami.</t>
  </si>
  <si>
    <t>Barrio Boy : 40th Anniversary Edition</t>
  </si>
  <si>
    <t>https://ebookcentral.proquest.com/lib/viva-active/detail.action?docID=4454349</t>
  </si>
  <si>
    <t>Galarza, Ernesto;Stavans, Ilan</t>
  </si>
  <si>
    <t>Nayarit (Mexico)</t>
  </si>
  <si>
    <t>The Chinese in Cuba, 1847-Now</t>
  </si>
  <si>
    <t>https://ebookcentral.proquest.com/lib/viva-active/detail.action?docID=4455808</t>
  </si>
  <si>
    <t>Benton, Gregor;García Triana, Mauro;Eng Herrera, Pedro</t>
  </si>
  <si>
    <t>AsiaWorld</t>
  </si>
  <si>
    <t>Cuba - Ethnic relations</t>
  </si>
  <si>
    <t>Reshaping New Spain : Government and Private Interests in the Colonial Bureaucracy, 1535-1550</t>
  </si>
  <si>
    <t>https://ebookcentral.proquest.com/lib/viva-active/detail.action?docID=4461660</t>
  </si>
  <si>
    <t>Ruiz Medrano, Ethelia;Constantine, Julia;Marmasse, Pauline</t>
  </si>
  <si>
    <t>Mexico--Politics and government.</t>
  </si>
  <si>
    <t>Civil Rights and Beyond : African American and Latino/a Activism in the Twentieth-Century United States</t>
  </si>
  <si>
    <t>https://ebookcentral.proquest.com/lib/viva-active/detail.action?docID=4471217</t>
  </si>
  <si>
    <t>Latin Americans - United States - Politics and government - 20th century</t>
  </si>
  <si>
    <t>Fernando de Alva Ixtlilxochitl and His Legacy</t>
  </si>
  <si>
    <t>https://ebookcentral.proquest.com/lib/viva-active/detail.action?docID=4509618</t>
  </si>
  <si>
    <t>Brokaw, Galen;Lee, Jongsoo</t>
  </si>
  <si>
    <t>Historians - Mexico - 17th century</t>
  </si>
  <si>
    <t>Sanctioning Matrimony : Western Expansion and Interethnic Marriage in the Arizona Borderlands</t>
  </si>
  <si>
    <t>https://ebookcentral.proquest.com/lib/viva-active/detail.action?docID=4509624</t>
  </si>
  <si>
    <t>Acosta, Sal</t>
  </si>
  <si>
    <t>Miscegenation - Arizona - Tucson - History - 20th century</t>
  </si>
  <si>
    <t>Stand up and Fight : Participatory Indigenismo, Populism, and Mobilization in Mexico, 1970-1984</t>
  </si>
  <si>
    <t>https://ebookcentral.proquest.com/lib/viva-active/detail.action?docID=4509626</t>
  </si>
  <si>
    <t>Muñoz, María L. O.</t>
  </si>
  <si>
    <t>Indians of Mexico - Politics and government - 20th century</t>
  </si>
  <si>
    <t>Debating American Identity : Southwestern Statehood and Mexican Immigration</t>
  </si>
  <si>
    <t>https://ebookcentral.proquest.com/lib/viva-active/detail.action?docID=4510593</t>
  </si>
  <si>
    <t>Noel, Linda C.</t>
  </si>
  <si>
    <t>Immigrants - Southwest, New - History - 20th century</t>
  </si>
  <si>
    <t>Hernando de Los Ríos Coronel and the Spanish Philippines in the Golden Age</t>
  </si>
  <si>
    <t>https://ebookcentral.proquest.com/lib/viva-active/detail.action?docID=4513698</t>
  </si>
  <si>
    <t>Crossley, John Newsome</t>
  </si>
  <si>
    <t>The Politics of Social Policy Change in Chile and Uruguay : Retrenchment Versus Maintenance, 1973-1998</t>
  </si>
  <si>
    <t>https://ebookcentral.proquest.com/lib/viva-active/detail.action?docID=4523596</t>
  </si>
  <si>
    <t>Castiglioni Nunez, Rossana</t>
  </si>
  <si>
    <t>Chile--Social policy.</t>
  </si>
  <si>
    <t>Dividing Hispaniola : The Dominican Republic's Border Campaign against Haiti, 1930-1961</t>
  </si>
  <si>
    <t>https://ebookcentral.proquest.com/lib/viva-active/detail.action?docID=4525854</t>
  </si>
  <si>
    <t>Paulino, Edward</t>
  </si>
  <si>
    <t>Pitt Latin American Series</t>
  </si>
  <si>
    <t>Haiti - Foreign relations - Dominican Republic</t>
  </si>
  <si>
    <t>Memories of Buenos Aires : Signs of State Terrorism in Argentina</t>
  </si>
  <si>
    <t>https://ebookcentral.proquest.com/lib/viva-active/detail.action?docID=4526425</t>
  </si>
  <si>
    <t>Memoria Abierta;Page, Max;Stavans, Ilan;Robert, Karen</t>
  </si>
  <si>
    <t>University of Massachusetts Press</t>
  </si>
  <si>
    <t>Public History in Historical Perspective</t>
  </si>
  <si>
    <t>Memorials - Argentina - Buenos Aires</t>
  </si>
  <si>
    <t>Remembering the Forgotten War : The Enduring Legacies of the U.S.-Mexican War</t>
  </si>
  <si>
    <t>https://ebookcentral.proquest.com/lib/viva-active/detail.action?docID=4533136</t>
  </si>
  <si>
    <t>Van Wagenen, Michael Scott</t>
  </si>
  <si>
    <t>Mexican War, 1846-1848--Influence.</t>
  </si>
  <si>
    <t>The Unlinking of Language and Puerto Rican Identity : New Trends in Sight</t>
  </si>
  <si>
    <t>https://ebookcentral.proquest.com/lib/viva-active/detail.action?docID=4534749</t>
  </si>
  <si>
    <t>Domínguez-Rosado, Brenda</t>
  </si>
  <si>
    <t>Anthropological linguistics--Puerto Rico.</t>
  </si>
  <si>
    <t>Archival Dissonance in the U.S. Cuban Post-Exile Novel</t>
  </si>
  <si>
    <t>https://ebookcentral.proquest.com/lib/viva-active/detail.action?docID=4535061</t>
  </si>
  <si>
    <t>Helmick, Gregory</t>
  </si>
  <si>
    <t>American literature--Cuban American authors.</t>
  </si>
  <si>
    <t>Forbidden Passages : Muslims and Moriscos in Colonial Spanish America</t>
  </si>
  <si>
    <t>https://ebookcentral.proquest.com/lib/viva-active/detail.action?docID=4540269</t>
  </si>
  <si>
    <t>Cook, Karoline P.</t>
  </si>
  <si>
    <t>Muslims--Latin America--History--16th century.</t>
  </si>
  <si>
    <t>When the Gospel Grows Feet : Rutilio Grande, SJ, and the Church of el Salvador; an Ecclesiology in Context</t>
  </si>
  <si>
    <t>https://ebookcentral.proquest.com/lib/viva-active/detail.action?docID=4546317</t>
  </si>
  <si>
    <t>Kelly, Thomas M.</t>
  </si>
  <si>
    <t>Liturgical Press</t>
  </si>
  <si>
    <t>El Salvador--Church history--20th century.</t>
  </si>
  <si>
    <t>Aspirational Power : Brazil on the Long Road to Global Influence</t>
  </si>
  <si>
    <t>https://ebookcentral.proquest.com/lib/viva-active/detail.action?docID=4549908</t>
  </si>
  <si>
    <t>Mares, David R.;Trinkunas, Harold  A.</t>
  </si>
  <si>
    <t>Geopolitics in the 21st Century</t>
  </si>
  <si>
    <t>Great powers - Philosophy</t>
  </si>
  <si>
    <t>Latin America and the Asian Giants : Evolving Ties with China and India</t>
  </si>
  <si>
    <t>https://ebookcentral.proquest.com/lib/viva-active/detail.action?docID=4551470</t>
  </si>
  <si>
    <t>Roett, Riordan;Paz, Guadalupe</t>
  </si>
  <si>
    <t>Latin America--Foreign economic relations--China.</t>
  </si>
  <si>
    <t>Work and Family : Latin American and Caribbean Women in Search of a New Balance</t>
  </si>
  <si>
    <t>https://ebookcentral.proquest.com/lib/viva-active/detail.action?docID=4557037</t>
  </si>
  <si>
    <t>Chioda, Laura;VerdÃº, Roberto Garcia</t>
  </si>
  <si>
    <t>Women employees - Caribbean Area</t>
  </si>
  <si>
    <t>Dangerous Neighbors : Making the Haitian Revolution in Early America</t>
  </si>
  <si>
    <t>https://ebookcentral.proquest.com/lib/viva-active/detail.action?docID=4562220</t>
  </si>
  <si>
    <t>Dun, James Alexander</t>
  </si>
  <si>
    <t>Early American Studies</t>
  </si>
  <si>
    <t>Haiti--History--Revolution, 1791-1804.</t>
  </si>
  <si>
    <t>Native Wills from the Colonial Americas : Dead Giveaways in a New World</t>
  </si>
  <si>
    <t>https://ebookcentral.proquest.com/lib/viva-active/detail.action?docID=4562226</t>
  </si>
  <si>
    <t>Christensen, Mark Z.;Truitt, Jonathan</t>
  </si>
  <si>
    <t>Wills - Central America</t>
  </si>
  <si>
    <t>Immigrant and Refugee Children and Families : Culturally Responsive Practice</t>
  </si>
  <si>
    <t>https://ebookcentral.proquest.com/lib/viva-active/detail.action?docID=4563434</t>
  </si>
  <si>
    <t>Dettlaff, Alan;Fong, Rowena</t>
  </si>
  <si>
    <t>Immigrant children - Services for - United States</t>
  </si>
  <si>
    <t>Open for Business : Building the New Cuban Economy</t>
  </si>
  <si>
    <t>https://ebookcentral.proquest.com/lib/viva-active/detail.action?docID=4563460</t>
  </si>
  <si>
    <t>Feinberg, Richard</t>
  </si>
  <si>
    <t>Cuba--Foreign economic relations.</t>
  </si>
  <si>
    <t>Imaging The Great Puerto Rican Family : Framing Nation, Race, and Gender during the American Century</t>
  </si>
  <si>
    <t>https://ebookcentral.proquest.com/lib/viva-active/detail.action?docID=4571573</t>
  </si>
  <si>
    <t>Lloréns, Hilda</t>
  </si>
  <si>
    <t>Puerto Rico - 20th century</t>
  </si>
  <si>
    <t>Language Documentation and Revitalization in Latin American Contexts : Latin American Contexts</t>
  </si>
  <si>
    <t>https://ebookcentral.proquest.com/lib/viva-active/detail.action?docID=4595499</t>
  </si>
  <si>
    <t>Pérez Báez, Gabriela;Rogers, Chris;Rosés Labrada, Jorge Emilio</t>
  </si>
  <si>
    <t>Language revival--Latin America.</t>
  </si>
  <si>
    <t>Narrow But Endlessly Deep : The struggle for memorialisation in Chile since the transition to democracy</t>
  </si>
  <si>
    <t>https://ebookcentral.proquest.com/lib/viva-active/detail.action?docID=4615204</t>
  </si>
  <si>
    <t>Read, Peter;Wyndham, Marivic</t>
  </si>
  <si>
    <t>ANU Press</t>
  </si>
  <si>
    <t>Chile--Politics and government--1973-1988.</t>
  </si>
  <si>
    <t>On the Edge : Writing the Border Between Haiti and the Dominican Republic</t>
  </si>
  <si>
    <t>https://ebookcentral.proquest.com/lib/viva-active/detail.action?docID=4616296</t>
  </si>
  <si>
    <t>Boundaries in literature.</t>
  </si>
  <si>
    <t>Body, Subject &amp; Subjected : The Representation of the Body Itself, Illness, Injury, Treatment &amp; Death in Spain and Indigenous and Hispanic American Art &amp; Literature</t>
  </si>
  <si>
    <t>https://ebookcentral.proquest.com/lib/viva-active/detail.action?docID=4649731</t>
  </si>
  <si>
    <t>Andrist, Debra D.</t>
  </si>
  <si>
    <t>Human figure in art.</t>
  </si>
  <si>
    <t>By the Grace of God : Francoist Spain and the Sacred Roots of Political Imagination</t>
  </si>
  <si>
    <t>https://ebookcentral.proquest.com/lib/viva-active/detail.action?docID=4669178</t>
  </si>
  <si>
    <t>Viestenz, William R.</t>
  </si>
  <si>
    <t>University of Toronto Press</t>
  </si>
  <si>
    <t>Toronto Iberic</t>
  </si>
  <si>
    <t>Garcilaso de la Vega and the Material Culture of Renaissance Europe</t>
  </si>
  <si>
    <t>https://ebookcentral.proquest.com/lib/viva-active/detail.action?docID=4669291</t>
  </si>
  <si>
    <t>Barnard, Mary E</t>
  </si>
  <si>
    <t>City on Fire : Technology, Social Change, and the Hazards of Progress in Mexico City, 1860-1910</t>
  </si>
  <si>
    <t>https://ebookcentral.proquest.com/lib/viva-active/detail.action?docID=4669554</t>
  </si>
  <si>
    <t>Alexander, Anna Rose</t>
  </si>
  <si>
    <t>Pittsburgh Hist Urban Environ Ser.</t>
  </si>
  <si>
    <t>Science - Social aspects - Mexico - Mexico City - History</t>
  </si>
  <si>
    <t>The Persistence of Presence : Emblem and Ritual in Baroque Spain</t>
  </si>
  <si>
    <t>https://ebookcentral.proquest.com/lib/viva-active/detail.action?docID=4669649</t>
  </si>
  <si>
    <t>Nelson, Bradley J.</t>
  </si>
  <si>
    <t>University of Toronto Romance</t>
  </si>
  <si>
    <t>Figuring the  Feminine : The Rhetoric of Female Embodiment in Medieval Hispanic Literature</t>
  </si>
  <si>
    <t>https://ebookcentral.proquest.com/lib/viva-active/detail.action?docID=4672591</t>
  </si>
  <si>
    <t>Ross, Jill</t>
  </si>
  <si>
    <t>Body image in literature</t>
  </si>
  <si>
    <t>Brazilian-African Diaspora in Ghana : The Tabom, Slavery, Dissonance of Memory, Identity, and Locating Home</t>
  </si>
  <si>
    <t>https://ebookcentral.proquest.com/lib/viva-active/detail.action?docID=4691325</t>
  </si>
  <si>
    <t>Essien, Kwame</t>
  </si>
  <si>
    <t>Ruth Simms Hamilton African Diaspora Ser.</t>
  </si>
  <si>
    <t>Freedmen--Ghana--History.</t>
  </si>
  <si>
    <t>Challenges for Central Banking</t>
  </si>
  <si>
    <t>https://ebookcentral.proquest.com/lib/viva-active/detail.action?docID=4723334</t>
  </si>
  <si>
    <t>Jacome H., Luis I.;Carriere-Swallow, Yan;Faruqee, Hamid</t>
  </si>
  <si>
    <t>INTERNATIONAL MONETARY FUND</t>
  </si>
  <si>
    <t>Banks and banking, Central--Latin America.</t>
  </si>
  <si>
    <t>https://ebookcentral.proquest.com/lib/viva-active/detail.action?docID=4743017</t>
  </si>
  <si>
    <t>Martí-Peña, Guadalupe;Mart--Pea, Guadalupe;Martai-Peana, Guadalupe</t>
  </si>
  <si>
    <t>Illusion in literature.</t>
  </si>
  <si>
    <t>Toma y Daca : Transculturación Y Presencia de Escritores Chino-Latinoamericanos</t>
  </si>
  <si>
    <t>https://ebookcentral.proquest.com/lib/viva-active/detail.action?docID=4743282</t>
  </si>
  <si>
    <t>Yen, Huei Lan</t>
  </si>
  <si>
    <t>Chinese - Latin America</t>
  </si>
  <si>
    <t>Neoliberalism, Social Exclusion, and Social Movements : Resistance and Dissent in Mexico's Sugar Industry</t>
  </si>
  <si>
    <t>https://ebookcentral.proquest.com/lib/viva-active/detail.action?docID=4767638</t>
  </si>
  <si>
    <t>Chollett , Donna L.</t>
  </si>
  <si>
    <t>Labor movement - Mexico</t>
  </si>
  <si>
    <t>The LusoAnarchist Reader : The Origins of Anarchism in Portugal and Brazil</t>
  </si>
  <si>
    <t>https://ebookcentral.proquest.com/lib/viva-active/detail.action?docID=4769139</t>
  </si>
  <si>
    <t>de Góes Jr, Plínio</t>
  </si>
  <si>
    <t>Critical Constructions: Studies on Education and Society</t>
  </si>
  <si>
    <t>Labor movement - Portugal - History - 20th century</t>
  </si>
  <si>
    <t>Overcoming Disparity : Latino Young Men and Boys</t>
  </si>
  <si>
    <t>https://ebookcentral.proquest.com/lib/viva-active/detail.action?docID=4773539</t>
  </si>
  <si>
    <t>Acosta, Frank;Ramos, Henry A. J.</t>
  </si>
  <si>
    <t>Hispanic American young men--Social conditions.</t>
  </si>
  <si>
    <t>Cuba beyond the Beach : Stories of Life in Havana</t>
  </si>
  <si>
    <t>https://ebookcentral.proquest.com/lib/viva-active/detail.action?docID=4789764</t>
  </si>
  <si>
    <t>Dubinsky , Karen</t>
  </si>
  <si>
    <t>Between the Lines</t>
  </si>
  <si>
    <t>The Last Day of Oppression, and the First Day of the Same : The Politics and Economics of the New Latin American Left</t>
  </si>
  <si>
    <t>https://ebookcentral.proquest.com/lib/viva-active/detail.action?docID=4810177</t>
  </si>
  <si>
    <t>Webber, Jeffery R.</t>
  </si>
  <si>
    <t>Right and left (Political science)</t>
  </si>
  <si>
    <t>Young, Well-Educated, and Adaptable : Chilean Exiles in Ontario and Quebec, 1973-2010</t>
  </si>
  <si>
    <t>https://ebookcentral.proquest.com/lib/viva-active/detail.action?docID=4828070</t>
  </si>
  <si>
    <t>Peddie, Francis;Loewen, Royden</t>
  </si>
  <si>
    <t>University of Manitoba Press</t>
  </si>
  <si>
    <t>Studies in Immigration and Culture Ser.</t>
  </si>
  <si>
    <t>Chileans--Ontario--History--20th century.</t>
  </si>
  <si>
    <t>Engaging the Emotions in Spanish Culture and History</t>
  </si>
  <si>
    <t>https://ebookcentral.proquest.com/lib/viva-active/detail.action?docID=4833709</t>
  </si>
  <si>
    <t>Delgado, Luisa Elena;Fernandez, Pura;Labanyi, Jo</t>
  </si>
  <si>
    <t>Emotions--Social aspects--Spain--History.</t>
  </si>
  <si>
    <t>The Man Who Wrote Pancho Villa : Martin Luis Guzman and the Politics of Life Writing</t>
  </si>
  <si>
    <t>https://ebookcentral.proquest.com/lib/viva-active/detail.action?docID=4833713</t>
  </si>
  <si>
    <t>Cifuentes-Goodbody, Nicholas</t>
  </si>
  <si>
    <t>Guzmaan, Martain Luis</t>
  </si>
  <si>
    <t>The Merchant of Havana : The Jew in the Cuban Abolitionist Archive</t>
  </si>
  <si>
    <t>https://ebookcentral.proquest.com/lib/viva-active/detail.action?docID=4833716</t>
  </si>
  <si>
    <t>Silverstein, Stephen</t>
  </si>
  <si>
    <t>Jews - Cuba - History - 19th century</t>
  </si>
  <si>
    <t>San Miguel de Allende : Mexicans, Foreigners, and the Making of a World Heritage Site</t>
  </si>
  <si>
    <t>https://ebookcentral.proquest.com/lib/viva-active/detail.action?docID=4852285</t>
  </si>
  <si>
    <t>Covert, Lisa Pinley</t>
  </si>
  <si>
    <t>San Miguel de Allende (Mexico)</t>
  </si>
  <si>
    <t>Carnival and National Identity in the Poetry of Afrocubanismo</t>
  </si>
  <si>
    <t>https://ebookcentral.proquest.com/lib/viva-active/detail.action?docID=4873559</t>
  </si>
  <si>
    <t>Anderson, Thomas F.</t>
  </si>
  <si>
    <t>Cuban poetrya--Black authors--History and criticism.</t>
  </si>
  <si>
    <t>The Moral Electricity of Print : Transatlantic Education and the Lima Women's Circuit, 1876-1910</t>
  </si>
  <si>
    <t>https://ebookcentral.proquest.com/lib/viva-active/detail.action?docID=4905456</t>
  </si>
  <si>
    <t>Briggs, Ronald</t>
  </si>
  <si>
    <t>Peruvian literature--Peru--Lima.</t>
  </si>
  <si>
    <t>Latino Leaders Speak : Personal Stories of Struggle and Triumph</t>
  </si>
  <si>
    <t>https://ebookcentral.proquest.com/lib/viva-active/detail.action?docID=4947306</t>
  </si>
  <si>
    <t>Ibarra, Mickey;Pérez-Brown, María</t>
  </si>
  <si>
    <t>Hispanic Americans--Biography.</t>
  </si>
  <si>
    <t>Networking Peripheries : Technological Futures and the Myth of Digital Universalism</t>
  </si>
  <si>
    <t>https://ebookcentral.proquest.com/lib/viva-active/detail.action?docID=5085446</t>
  </si>
  <si>
    <t>Chan, Anita Say</t>
  </si>
  <si>
    <t>Information society--Peru.</t>
  </si>
  <si>
    <t>Embodied Light : The Bahá'í Temple of South America</t>
  </si>
  <si>
    <t>https://ebookcentral.proquest.com/lib/viva-active/detail.action?docID=5156713</t>
  </si>
  <si>
    <t>Hariri Pontarini Architects, Hariri Pontarini</t>
  </si>
  <si>
    <t>Rio 2016 : Olympic Myths, Hard Realities</t>
  </si>
  <si>
    <t>https://ebookcentral.proquest.com/lib/viva-active/detail.action?docID=5179974</t>
  </si>
  <si>
    <t>Zimbalist, Andrew</t>
  </si>
  <si>
    <t>Tourism-Social aspects-Brazil.</t>
  </si>
  <si>
    <t>Political Culture in Spanish America, 1500–1830</t>
  </si>
  <si>
    <t>https://ebookcentral.proquest.com/lib/viva-active/detail.action?docID=5183394</t>
  </si>
  <si>
    <t>Political culture-Latin America-History-Case studies. ; Spain-Colonies-America.</t>
  </si>
  <si>
    <t>The Road to Armageddon : Paraguay Versus the Triple Alliance, 1866-70</t>
  </si>
  <si>
    <t>https://ebookcentral.proquest.com/lib/viva-active/detail.action?docID=5192406</t>
  </si>
  <si>
    <t>Whigham, Thomas L.</t>
  </si>
  <si>
    <t>Paraguayan War, 1865-1870. ; Paraguay-History-1811-1870. ; Brazil-History-Empire, 1822-1889.</t>
  </si>
  <si>
    <t>Reading Inebriation in Early Colonial Peru</t>
  </si>
  <si>
    <t>https://ebookcentral.proquest.com/lib/viva-active/detail.action?docID=5207770</t>
  </si>
  <si>
    <t>Morales, Mónica P.</t>
  </si>
  <si>
    <t>New Hispanisms: Cultural and Literary Studies</t>
  </si>
  <si>
    <t>Indians of South America-Alcohol use-Peru. ; Incas-Alcohol use. ; Peru-History-Conquest, 1522-1548. ; Peru-History-1548-1820-Historiography. ; Peru-Colonization-Historiography.</t>
  </si>
  <si>
    <t>Fernando Ortiz on Music : Selected Writing on Afro-Cuban Culture</t>
  </si>
  <si>
    <t>https://ebookcentral.proquest.com/lib/viva-active/detail.action?docID=5216589</t>
  </si>
  <si>
    <t>Studies in Latin America and Car Ser.</t>
  </si>
  <si>
    <t>Music-Cuba-History and criticism. ; Blacks-Cuba-Music-History and criticism.</t>
  </si>
  <si>
    <t>Policing Protest in Argentina and Chile</t>
  </si>
  <si>
    <t>https://ebookcentral.proquest.com/lib/viva-active/detail.action?docID=5255173</t>
  </si>
  <si>
    <t>Bonner, Michelle D.</t>
  </si>
  <si>
    <t>Crowd control - Chile</t>
  </si>
  <si>
    <t>Beyond Alterity : Destabilizing the Indigenous Other in Mexico</t>
  </si>
  <si>
    <t>https://ebookcentral.proquest.com/lib/viva-active/detail.action?docID=5275381</t>
  </si>
  <si>
    <t>López Caballero, Paula;Acevedo-Rodrigo, Ariadna;Eiss, Paul K.</t>
  </si>
  <si>
    <t>Indians of Mexico-Ethnic identity. ; Other (Philosophy)-Mexico.</t>
  </si>
  <si>
    <t>Latino Mayors : Political Change in the Postindustrial City</t>
  </si>
  <si>
    <t>https://ebookcentral.proquest.com/lib/viva-active/detail.action?docID=5400566</t>
  </si>
  <si>
    <t>Orr, Marion;Morel, Domingo;Fraga, Luis Ricardo</t>
  </si>
  <si>
    <t>Municipal government-United States-Case studies. ; Hispanic American mayors-Case studies. ; SOCIAL SCIENCE / Ethnic Studies / Hispanic American Studies.-bisacsh ; POLITICAL SCIENCE / Public Policy / General.-bisacsh ; POLITICAL SCIENCE / Public Policy / City Planning &amp; Urban Development.-bisacsh</t>
  </si>
  <si>
    <t>The Possessive Investment in Whiteness : How White People Profit from Identity Politics</t>
  </si>
  <si>
    <t>https://ebookcentral.proquest.com/lib/viva-active/detail.action?docID=5425334</t>
  </si>
  <si>
    <t>Don Quixote</t>
  </si>
  <si>
    <t>https://ebookcentral.proquest.com/lib/viva-active/detail.action?docID=5443156</t>
  </si>
  <si>
    <t>Cervantes, Miguel de</t>
  </si>
  <si>
    <t>Lerner Publishing Group</t>
  </si>
  <si>
    <t>First Avenue Classics (tm) Ser.</t>
  </si>
  <si>
    <t>Knights and knighthood-Fiction. ; Spain-Fiction.</t>
  </si>
  <si>
    <t>https://ebookcentral.proquest.com/lib/viva-active/detail.action?docID=5443206</t>
  </si>
  <si>
    <t>Cervantes, Miguel de;Ormsby, John</t>
  </si>
  <si>
    <t>Quixote,-Don (Fictitious character)-Fiction. ; Knights and knighthood-Spain-Fiction.</t>
  </si>
  <si>
    <t>Brazilian History : Culture, Society, Politics 1500-2010</t>
  </si>
  <si>
    <t>https://ebookcentral.proquest.com/lib/viva-active/detail.action?docID=5487784</t>
  </si>
  <si>
    <t>Machado, Roberto Pinheiro</t>
  </si>
  <si>
    <t>The Object of the Atlantic : Concrete Aesthetics in Cuba, Brazil, and Spain, 1868-1968</t>
  </si>
  <si>
    <t>https://ebookcentral.proquest.com/lib/viva-active/detail.action?docID=5491561</t>
  </si>
  <si>
    <t>Price, Rachel;Dimendberg, Ed</t>
  </si>
  <si>
    <t>Northwestern University Press</t>
  </si>
  <si>
    <t>FlashPoints</t>
  </si>
  <si>
    <t>Literature and history-Atlantic Ocean Region. ; Atlantic Ocean Region-Literatures-21st century.</t>
  </si>
  <si>
    <t>Borderline Citizens : The United States, Puerto Rico, and the Politics of Colonial Migration</t>
  </si>
  <si>
    <t>https://ebookcentral.proquest.com/lib/viva-active/detail.action?docID=5541134</t>
  </si>
  <si>
    <t>McGreevey, Robert C.</t>
  </si>
  <si>
    <t>Puerto Ricans-United States-History-20th century. ; Puerto Ricans-Migrations-History-20th century. ; Citizenship-United States-History-20th century. ; Puerto Rico-Colonial influence. ; Puerto Rico-Emigration and immigration-History-20th century. ; United States-Emigration and immigration-History-20th century.</t>
  </si>
  <si>
    <t>From Filmmaker Warriors to Flash Drive Shamans : Indigenous Media Production and Engagement in Latin America</t>
  </si>
  <si>
    <t>https://ebookcentral.proquest.com/lib/viva-active/detail.action?docID=5566747</t>
  </si>
  <si>
    <t>Pace, Richard</t>
  </si>
  <si>
    <t>Vanderbilt Center for Latin American Studies Ser.</t>
  </si>
  <si>
    <t>Indigenous peoples and mass media-Latin America. ; Mass media and culture-Latin America.</t>
  </si>
  <si>
    <t>The Migrant Passage : Clandestine Journeys from Central America</t>
  </si>
  <si>
    <t>https://ebookcentral.proquest.com/lib/viva-active/detail.action?docID=5598864</t>
  </si>
  <si>
    <t>Brigden, Noelle Kateri</t>
  </si>
  <si>
    <t>History; Political Science; Social Science</t>
  </si>
  <si>
    <t>Culinary Art and Anthropology</t>
  </si>
  <si>
    <t>https://ebookcentral.proquest.com/lib/viva-active/detail.action?docID=5730757</t>
  </si>
  <si>
    <t>Adapon, Joy</t>
  </si>
  <si>
    <t>Social Science; Home Economics</t>
  </si>
  <si>
    <t>Cooking, Mexican. ; Cooking-Mexico-Mexico City. ; Cooking-Social aspects-Mexico-Mexico City. ; Food habits-Mexico-Mexico City. ; Milpa Alta (Mexico City, Mexico)-Social life and customs. ; Mexico City (Mexico)-Social life and customs.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</si>
</sst>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80742-C7D1-4BE0-8FAB-97EEE2693AE8}">
  <dimension ref="A1:H1682"/>
  <sheetViews>
    <sheetView tabSelected="1" workbookViewId="0">
      <selection activeCell="A2" sqref="A2"/>
    </sheetView>
  </sheetViews>
  <sheetFormatPr defaultRowHeight="14.5" x14ac:dyDescent="0.35"/>
  <cols>
    <col min="1" max="1" width="32.26953125" customWidth="1"/>
    <col min="2" max="2" width="18.6328125" customWidth="1"/>
    <col min="3" max="3" width="44.54296875" customWidth="1"/>
    <col min="4" max="4" width="23" customWidth="1"/>
  </cols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5">
      <c r="A2" t="s">
        <v>8</v>
      </c>
      <c r="B2" t="str">
        <f>"9780203134351"</f>
        <v>9780203134351</v>
      </c>
      <c r="C2" t="s">
        <v>9</v>
      </c>
      <c r="D2" t="s">
        <v>10</v>
      </c>
      <c r="E2" t="s">
        <v>11</v>
      </c>
      <c r="G2" t="s">
        <v>12</v>
      </c>
      <c r="H2" t="s">
        <v>13</v>
      </c>
    </row>
    <row r="3" spans="1:8" x14ac:dyDescent="0.35">
      <c r="A3" t="s">
        <v>14</v>
      </c>
      <c r="B3" t="str">
        <f>"9780203026793"</f>
        <v>9780203026793</v>
      </c>
      <c r="C3" t="s">
        <v>15</v>
      </c>
      <c r="D3" t="s">
        <v>16</v>
      </c>
      <c r="E3" t="s">
        <v>11</v>
      </c>
      <c r="G3" t="s">
        <v>17</v>
      </c>
      <c r="H3" t="s">
        <v>18</v>
      </c>
    </row>
    <row r="4" spans="1:8" x14ac:dyDescent="0.35">
      <c r="A4" t="s">
        <v>19</v>
      </c>
      <c r="B4" t="str">
        <f>"9780203403785"</f>
        <v>9780203403785</v>
      </c>
      <c r="C4" t="s">
        <v>20</v>
      </c>
      <c r="D4" t="s">
        <v>21</v>
      </c>
      <c r="E4" t="s">
        <v>11</v>
      </c>
      <c r="G4" t="s">
        <v>22</v>
      </c>
      <c r="H4" t="s">
        <v>23</v>
      </c>
    </row>
    <row r="5" spans="1:8" x14ac:dyDescent="0.35">
      <c r="A5" t="s">
        <v>24</v>
      </c>
      <c r="B5" t="str">
        <f>"9780203494639"</f>
        <v>9780203494639</v>
      </c>
      <c r="C5" t="s">
        <v>25</v>
      </c>
      <c r="D5" t="s">
        <v>26</v>
      </c>
      <c r="E5" t="s">
        <v>11</v>
      </c>
      <c r="F5" t="s">
        <v>27</v>
      </c>
      <c r="G5" t="s">
        <v>28</v>
      </c>
      <c r="H5" t="s">
        <v>29</v>
      </c>
    </row>
    <row r="6" spans="1:8" x14ac:dyDescent="0.35">
      <c r="A6" t="s">
        <v>30</v>
      </c>
      <c r="B6" t="str">
        <f>"9780203509081"</f>
        <v>9780203509081</v>
      </c>
      <c r="C6" t="s">
        <v>31</v>
      </c>
      <c r="D6" t="s">
        <v>32</v>
      </c>
      <c r="E6" t="s">
        <v>11</v>
      </c>
      <c r="F6" t="s">
        <v>33</v>
      </c>
      <c r="G6" t="s">
        <v>34</v>
      </c>
      <c r="H6" t="s">
        <v>35</v>
      </c>
    </row>
    <row r="7" spans="1:8" x14ac:dyDescent="0.35">
      <c r="A7" t="s">
        <v>36</v>
      </c>
      <c r="B7" t="str">
        <f>"9781135935368"</f>
        <v>9781135935368</v>
      </c>
      <c r="C7" t="s">
        <v>37</v>
      </c>
      <c r="D7" t="s">
        <v>38</v>
      </c>
      <c r="E7" t="s">
        <v>11</v>
      </c>
      <c r="G7" t="s">
        <v>39</v>
      </c>
      <c r="H7" t="s">
        <v>40</v>
      </c>
    </row>
    <row r="8" spans="1:8" x14ac:dyDescent="0.35">
      <c r="A8" t="s">
        <v>41</v>
      </c>
      <c r="B8" t="str">
        <f>"9780203493656"</f>
        <v>9780203493656</v>
      </c>
      <c r="C8" t="s">
        <v>42</v>
      </c>
      <c r="D8" t="s">
        <v>43</v>
      </c>
      <c r="E8" t="s">
        <v>11</v>
      </c>
      <c r="F8" t="s">
        <v>33</v>
      </c>
      <c r="G8" t="s">
        <v>44</v>
      </c>
      <c r="H8" t="s">
        <v>45</v>
      </c>
    </row>
    <row r="9" spans="1:8" x14ac:dyDescent="0.35">
      <c r="A9" t="s">
        <v>46</v>
      </c>
      <c r="B9" t="str">
        <f>"9780203463567"</f>
        <v>9780203463567</v>
      </c>
      <c r="C9" t="s">
        <v>47</v>
      </c>
      <c r="D9" t="s">
        <v>48</v>
      </c>
      <c r="E9" t="s">
        <v>11</v>
      </c>
      <c r="F9" t="s">
        <v>49</v>
      </c>
      <c r="G9" t="s">
        <v>50</v>
      </c>
      <c r="H9" t="s">
        <v>51</v>
      </c>
    </row>
    <row r="10" spans="1:8" x14ac:dyDescent="0.35">
      <c r="A10" t="s">
        <v>52</v>
      </c>
      <c r="B10" t="str">
        <f>"9780203309506"</f>
        <v>9780203309506</v>
      </c>
      <c r="C10" t="s">
        <v>53</v>
      </c>
      <c r="D10" t="s">
        <v>54</v>
      </c>
      <c r="E10" t="s">
        <v>11</v>
      </c>
      <c r="G10" t="s">
        <v>55</v>
      </c>
      <c r="H10" t="s">
        <v>56</v>
      </c>
    </row>
    <row r="11" spans="1:8" x14ac:dyDescent="0.35">
      <c r="A11" t="s">
        <v>57</v>
      </c>
      <c r="B11" t="str">
        <f>"9780203330265"</f>
        <v>9780203330265</v>
      </c>
      <c r="C11" t="s">
        <v>58</v>
      </c>
      <c r="D11" t="s">
        <v>59</v>
      </c>
      <c r="E11" t="s">
        <v>11</v>
      </c>
      <c r="F11" t="s">
        <v>33</v>
      </c>
      <c r="G11" t="s">
        <v>60</v>
      </c>
      <c r="H11" t="s">
        <v>61</v>
      </c>
    </row>
    <row r="12" spans="1:8" x14ac:dyDescent="0.35">
      <c r="A12" t="s">
        <v>62</v>
      </c>
      <c r="B12" t="str">
        <f>"9780203644522"</f>
        <v>9780203644522</v>
      </c>
      <c r="C12" t="s">
        <v>63</v>
      </c>
      <c r="D12" t="s">
        <v>64</v>
      </c>
      <c r="E12" t="s">
        <v>11</v>
      </c>
      <c r="G12" t="s">
        <v>55</v>
      </c>
      <c r="H12" t="s">
        <v>65</v>
      </c>
    </row>
    <row r="13" spans="1:8" x14ac:dyDescent="0.35">
      <c r="A13" t="s">
        <v>66</v>
      </c>
      <c r="B13" t="str">
        <f>"9780520932531"</f>
        <v>9780520932531</v>
      </c>
      <c r="C13" t="s">
        <v>67</v>
      </c>
      <c r="D13" t="s">
        <v>68</v>
      </c>
      <c r="E13" t="s">
        <v>69</v>
      </c>
      <c r="G13" t="s">
        <v>44</v>
      </c>
      <c r="H13" t="s">
        <v>70</v>
      </c>
    </row>
    <row r="14" spans="1:8" x14ac:dyDescent="0.35">
      <c r="A14" t="s">
        <v>71</v>
      </c>
      <c r="B14" t="str">
        <f>"9780520937284"</f>
        <v>9780520937284</v>
      </c>
      <c r="C14" t="s">
        <v>72</v>
      </c>
      <c r="D14" t="s">
        <v>73</v>
      </c>
      <c r="E14" t="s">
        <v>69</v>
      </c>
      <c r="F14" t="s">
        <v>74</v>
      </c>
      <c r="G14" t="s">
        <v>39</v>
      </c>
      <c r="H14" t="s">
        <v>75</v>
      </c>
    </row>
    <row r="15" spans="1:8" x14ac:dyDescent="0.35">
      <c r="A15" t="s">
        <v>76</v>
      </c>
      <c r="B15" t="str">
        <f>"9780520937888"</f>
        <v>9780520937888</v>
      </c>
      <c r="C15" t="s">
        <v>77</v>
      </c>
      <c r="D15" t="s">
        <v>78</v>
      </c>
      <c r="E15" t="s">
        <v>69</v>
      </c>
      <c r="G15" t="s">
        <v>44</v>
      </c>
      <c r="H15" t="s">
        <v>79</v>
      </c>
    </row>
    <row r="16" spans="1:8" x14ac:dyDescent="0.35">
      <c r="A16" t="s">
        <v>80</v>
      </c>
      <c r="B16" t="str">
        <f>"9780520936416"</f>
        <v>9780520936416</v>
      </c>
      <c r="C16" t="s">
        <v>81</v>
      </c>
      <c r="D16" t="s">
        <v>82</v>
      </c>
      <c r="E16" t="s">
        <v>69</v>
      </c>
      <c r="G16" t="s">
        <v>83</v>
      </c>
      <c r="H16" t="s">
        <v>84</v>
      </c>
    </row>
    <row r="17" spans="1:8" x14ac:dyDescent="0.35">
      <c r="A17" t="s">
        <v>85</v>
      </c>
      <c r="B17" t="str">
        <f>"9780520927544"</f>
        <v>9780520927544</v>
      </c>
      <c r="C17" t="s">
        <v>86</v>
      </c>
      <c r="D17" t="s">
        <v>87</v>
      </c>
      <c r="E17" t="s">
        <v>69</v>
      </c>
      <c r="G17" t="s">
        <v>83</v>
      </c>
      <c r="H17" t="s">
        <v>88</v>
      </c>
    </row>
    <row r="18" spans="1:8" x14ac:dyDescent="0.35">
      <c r="A18" t="s">
        <v>89</v>
      </c>
      <c r="B18" t="str">
        <f>"9780520937727"</f>
        <v>9780520937727</v>
      </c>
      <c r="C18" t="s">
        <v>90</v>
      </c>
      <c r="D18" t="s">
        <v>91</v>
      </c>
      <c r="E18" t="s">
        <v>69</v>
      </c>
      <c r="G18" t="s">
        <v>39</v>
      </c>
      <c r="H18" t="s">
        <v>92</v>
      </c>
    </row>
    <row r="19" spans="1:8" x14ac:dyDescent="0.35">
      <c r="A19" t="s">
        <v>93</v>
      </c>
      <c r="B19" t="str">
        <f>"9780520937994"</f>
        <v>9780520937994</v>
      </c>
      <c r="C19" t="s">
        <v>94</v>
      </c>
      <c r="D19" t="s">
        <v>95</v>
      </c>
      <c r="E19" t="s">
        <v>69</v>
      </c>
      <c r="G19" t="s">
        <v>96</v>
      </c>
      <c r="H19" t="s">
        <v>97</v>
      </c>
    </row>
    <row r="20" spans="1:8" x14ac:dyDescent="0.35">
      <c r="A20" t="s">
        <v>98</v>
      </c>
      <c r="B20" t="str">
        <f>"9781410612076"</f>
        <v>9781410612076</v>
      </c>
      <c r="C20" t="s">
        <v>99</v>
      </c>
      <c r="D20" t="s">
        <v>100</v>
      </c>
      <c r="E20" t="s">
        <v>11</v>
      </c>
      <c r="G20" t="s">
        <v>101</v>
      </c>
      <c r="H20" t="s">
        <v>102</v>
      </c>
    </row>
    <row r="21" spans="1:8" x14ac:dyDescent="0.35">
      <c r="A21" t="s">
        <v>103</v>
      </c>
      <c r="B21" t="str">
        <f>"9780520936133"</f>
        <v>9780520936133</v>
      </c>
      <c r="C21" t="s">
        <v>104</v>
      </c>
      <c r="D21" t="s">
        <v>105</v>
      </c>
      <c r="E21" t="s">
        <v>69</v>
      </c>
      <c r="G21" t="s">
        <v>106</v>
      </c>
      <c r="H21" t="s">
        <v>107</v>
      </c>
    </row>
    <row r="22" spans="1:8" x14ac:dyDescent="0.35">
      <c r="A22" t="s">
        <v>108</v>
      </c>
      <c r="B22" t="str">
        <f>"9780203982631"</f>
        <v>9780203982631</v>
      </c>
      <c r="C22" t="s">
        <v>109</v>
      </c>
      <c r="D22" t="s">
        <v>110</v>
      </c>
      <c r="E22" t="s">
        <v>11</v>
      </c>
      <c r="F22" t="s">
        <v>111</v>
      </c>
      <c r="G22" t="s">
        <v>112</v>
      </c>
      <c r="H22" t="s">
        <v>113</v>
      </c>
    </row>
    <row r="23" spans="1:8" x14ac:dyDescent="0.35">
      <c r="A23" t="s">
        <v>114</v>
      </c>
      <c r="B23" t="str">
        <f>"9780520938496"</f>
        <v>9780520938496</v>
      </c>
      <c r="C23" t="s">
        <v>115</v>
      </c>
      <c r="D23" t="s">
        <v>116</v>
      </c>
      <c r="E23" t="s">
        <v>69</v>
      </c>
      <c r="G23" t="s">
        <v>39</v>
      </c>
      <c r="H23" t="s">
        <v>117</v>
      </c>
    </row>
    <row r="24" spans="1:8" x14ac:dyDescent="0.35">
      <c r="A24" t="s">
        <v>118</v>
      </c>
      <c r="B24" t="str">
        <f>"9780520938892"</f>
        <v>9780520938892</v>
      </c>
      <c r="C24" t="s">
        <v>119</v>
      </c>
      <c r="D24" t="s">
        <v>120</v>
      </c>
      <c r="E24" t="s">
        <v>69</v>
      </c>
      <c r="F24" t="s">
        <v>74</v>
      </c>
      <c r="G24" t="s">
        <v>39</v>
      </c>
      <c r="H24" t="s">
        <v>121</v>
      </c>
    </row>
    <row r="25" spans="1:8" x14ac:dyDescent="0.35">
      <c r="A25" t="s">
        <v>122</v>
      </c>
      <c r="B25" t="str">
        <f>"9780520938601"</f>
        <v>9780520938601</v>
      </c>
      <c r="C25" t="s">
        <v>123</v>
      </c>
      <c r="D25" t="s">
        <v>124</v>
      </c>
      <c r="E25" t="s">
        <v>69</v>
      </c>
      <c r="G25" t="s">
        <v>39</v>
      </c>
      <c r="H25" t="s">
        <v>125</v>
      </c>
    </row>
    <row r="26" spans="1:8" x14ac:dyDescent="0.35">
      <c r="A26" t="s">
        <v>126</v>
      </c>
      <c r="B26" t="str">
        <f>"9780520939172"</f>
        <v>9780520939172</v>
      </c>
      <c r="C26" t="s">
        <v>127</v>
      </c>
      <c r="D26" t="s">
        <v>128</v>
      </c>
      <c r="E26" t="s">
        <v>69</v>
      </c>
      <c r="G26" t="s">
        <v>17</v>
      </c>
      <c r="H26" t="s">
        <v>129</v>
      </c>
    </row>
    <row r="27" spans="1:8" x14ac:dyDescent="0.35">
      <c r="A27" t="s">
        <v>130</v>
      </c>
      <c r="B27" t="str">
        <f>"9780520939431"</f>
        <v>9780520939431</v>
      </c>
      <c r="C27" t="s">
        <v>131</v>
      </c>
      <c r="D27" t="s">
        <v>132</v>
      </c>
      <c r="E27" t="s">
        <v>69</v>
      </c>
      <c r="G27" t="s">
        <v>133</v>
      </c>
      <c r="H27" t="s">
        <v>134</v>
      </c>
    </row>
    <row r="28" spans="1:8" x14ac:dyDescent="0.35">
      <c r="A28" t="s">
        <v>135</v>
      </c>
      <c r="B28" t="str">
        <f>"9780520939462"</f>
        <v>9780520939462</v>
      </c>
      <c r="C28" t="s">
        <v>136</v>
      </c>
      <c r="D28" t="s">
        <v>137</v>
      </c>
      <c r="E28" t="s">
        <v>69</v>
      </c>
      <c r="F28" t="s">
        <v>138</v>
      </c>
      <c r="G28" t="s">
        <v>139</v>
      </c>
      <c r="H28" t="s">
        <v>140</v>
      </c>
    </row>
    <row r="29" spans="1:8" x14ac:dyDescent="0.35">
      <c r="A29" t="s">
        <v>141</v>
      </c>
      <c r="B29" t="str">
        <f>"9781853598999"</f>
        <v>9781853598999</v>
      </c>
      <c r="C29" t="s">
        <v>142</v>
      </c>
      <c r="D29" t="s">
        <v>143</v>
      </c>
      <c r="E29" t="s">
        <v>144</v>
      </c>
      <c r="F29" t="s">
        <v>145</v>
      </c>
      <c r="G29" t="s">
        <v>146</v>
      </c>
      <c r="H29" t="s">
        <v>147</v>
      </c>
    </row>
    <row r="30" spans="1:8" x14ac:dyDescent="0.35">
      <c r="A30" t="s">
        <v>148</v>
      </c>
      <c r="B30" t="str">
        <f>"9780253111692"</f>
        <v>9780253111692</v>
      </c>
      <c r="C30" t="s">
        <v>149</v>
      </c>
      <c r="D30" t="s">
        <v>150</v>
      </c>
      <c r="E30" t="s">
        <v>151</v>
      </c>
      <c r="G30" t="s">
        <v>44</v>
      </c>
      <c r="H30" t="s">
        <v>152</v>
      </c>
    </row>
    <row r="31" spans="1:8" x14ac:dyDescent="0.35">
      <c r="A31" t="s">
        <v>153</v>
      </c>
      <c r="B31" t="str">
        <f>"9780815752226"</f>
        <v>9780815752226</v>
      </c>
      <c r="C31" t="s">
        <v>154</v>
      </c>
      <c r="D31" t="s">
        <v>155</v>
      </c>
      <c r="E31" t="s">
        <v>156</v>
      </c>
      <c r="G31" t="s">
        <v>157</v>
      </c>
      <c r="H31" t="s">
        <v>158</v>
      </c>
    </row>
    <row r="32" spans="1:8" x14ac:dyDescent="0.35">
      <c r="A32" t="s">
        <v>159</v>
      </c>
      <c r="B32" t="str">
        <f>"9781592134113"</f>
        <v>9781592134113</v>
      </c>
      <c r="C32" t="s">
        <v>160</v>
      </c>
      <c r="D32" t="s">
        <v>161</v>
      </c>
      <c r="E32" t="s">
        <v>162</v>
      </c>
      <c r="G32" t="s">
        <v>163</v>
      </c>
      <c r="H32" t="s">
        <v>164</v>
      </c>
    </row>
    <row r="33" spans="1:8" x14ac:dyDescent="0.35">
      <c r="A33" t="s">
        <v>165</v>
      </c>
      <c r="B33" t="str">
        <f>"9781592134182"</f>
        <v>9781592134182</v>
      </c>
      <c r="C33" t="s">
        <v>166</v>
      </c>
      <c r="D33" t="s">
        <v>167</v>
      </c>
      <c r="E33" t="s">
        <v>162</v>
      </c>
      <c r="G33" t="s">
        <v>83</v>
      </c>
      <c r="H33" t="s">
        <v>168</v>
      </c>
    </row>
    <row r="34" spans="1:8" x14ac:dyDescent="0.35">
      <c r="A34" t="s">
        <v>169</v>
      </c>
      <c r="B34" t="str">
        <f>"9781592134243"</f>
        <v>9781592134243</v>
      </c>
      <c r="C34" t="s">
        <v>170</v>
      </c>
      <c r="D34" t="s">
        <v>171</v>
      </c>
      <c r="E34" t="s">
        <v>162</v>
      </c>
      <c r="G34" t="s">
        <v>39</v>
      </c>
      <c r="H34" t="s">
        <v>172</v>
      </c>
    </row>
    <row r="35" spans="1:8" x14ac:dyDescent="0.35">
      <c r="A35" t="s">
        <v>173</v>
      </c>
      <c r="B35" t="str">
        <f>"9781592134953"</f>
        <v>9781592134953</v>
      </c>
      <c r="C35" t="s">
        <v>174</v>
      </c>
      <c r="D35" t="s">
        <v>175</v>
      </c>
      <c r="E35" t="s">
        <v>162</v>
      </c>
      <c r="G35" t="s">
        <v>55</v>
      </c>
      <c r="H35" t="s">
        <v>176</v>
      </c>
    </row>
    <row r="36" spans="1:8" x14ac:dyDescent="0.35">
      <c r="A36" t="s">
        <v>177</v>
      </c>
      <c r="B36" t="str">
        <f>"9780520940574"</f>
        <v>9780520940574</v>
      </c>
      <c r="C36" t="s">
        <v>178</v>
      </c>
      <c r="D36" t="s">
        <v>179</v>
      </c>
      <c r="E36" t="s">
        <v>69</v>
      </c>
      <c r="G36" t="s">
        <v>180</v>
      </c>
      <c r="H36" t="s">
        <v>181</v>
      </c>
    </row>
    <row r="37" spans="1:8" x14ac:dyDescent="0.35">
      <c r="A37" t="s">
        <v>182</v>
      </c>
      <c r="B37" t="str">
        <f>"9780520940147"</f>
        <v>9780520940147</v>
      </c>
      <c r="C37" t="s">
        <v>183</v>
      </c>
      <c r="D37" t="s">
        <v>184</v>
      </c>
      <c r="E37" t="s">
        <v>69</v>
      </c>
      <c r="F37" t="s">
        <v>185</v>
      </c>
      <c r="G37" t="s">
        <v>186</v>
      </c>
      <c r="H37" t="s">
        <v>187</v>
      </c>
    </row>
    <row r="38" spans="1:8" x14ac:dyDescent="0.35">
      <c r="A38" t="s">
        <v>188</v>
      </c>
      <c r="B38" t="str">
        <f>"9780520939202"</f>
        <v>9780520939202</v>
      </c>
      <c r="C38" t="s">
        <v>189</v>
      </c>
      <c r="D38" t="s">
        <v>190</v>
      </c>
      <c r="E38" t="s">
        <v>69</v>
      </c>
      <c r="F38" t="s">
        <v>74</v>
      </c>
      <c r="G38" t="s">
        <v>191</v>
      </c>
      <c r="H38" t="s">
        <v>192</v>
      </c>
    </row>
    <row r="39" spans="1:8" x14ac:dyDescent="0.35">
      <c r="A39" t="s">
        <v>193</v>
      </c>
      <c r="B39" t="str">
        <f>"9781552503423"</f>
        <v>9781552503423</v>
      </c>
      <c r="C39" t="s">
        <v>194</v>
      </c>
      <c r="D39" t="s">
        <v>195</v>
      </c>
      <c r="E39" t="s">
        <v>196</v>
      </c>
      <c r="G39" t="s">
        <v>197</v>
      </c>
      <c r="H39" t="s">
        <v>198</v>
      </c>
    </row>
    <row r="40" spans="1:8" x14ac:dyDescent="0.35">
      <c r="A40" t="s">
        <v>199</v>
      </c>
      <c r="B40" t="str">
        <f>"9780826124784"</f>
        <v>9780826124784</v>
      </c>
      <c r="C40" t="s">
        <v>200</v>
      </c>
      <c r="D40" t="s">
        <v>201</v>
      </c>
      <c r="E40" t="s">
        <v>202</v>
      </c>
      <c r="G40" t="s">
        <v>39</v>
      </c>
      <c r="H40" t="s">
        <v>203</v>
      </c>
    </row>
    <row r="41" spans="1:8" x14ac:dyDescent="0.35">
      <c r="A41" t="s">
        <v>204</v>
      </c>
      <c r="B41" t="str">
        <f>"9781853599736"</f>
        <v>9781853599736</v>
      </c>
      <c r="C41" t="s">
        <v>205</v>
      </c>
      <c r="D41" t="s">
        <v>206</v>
      </c>
      <c r="E41" t="s">
        <v>144</v>
      </c>
      <c r="F41" t="s">
        <v>207</v>
      </c>
      <c r="G41" t="s">
        <v>208</v>
      </c>
      <c r="H41" t="s">
        <v>209</v>
      </c>
    </row>
    <row r="42" spans="1:8" x14ac:dyDescent="0.35">
      <c r="A42" t="s">
        <v>210</v>
      </c>
      <c r="B42" t="str">
        <f>"9781847690074"</f>
        <v>9781847690074</v>
      </c>
      <c r="C42" t="s">
        <v>211</v>
      </c>
      <c r="D42" t="s">
        <v>212</v>
      </c>
      <c r="E42" t="s">
        <v>144</v>
      </c>
      <c r="F42" t="s">
        <v>213</v>
      </c>
      <c r="G42" t="s">
        <v>214</v>
      </c>
      <c r="H42" t="s">
        <v>215</v>
      </c>
    </row>
    <row r="43" spans="1:8" x14ac:dyDescent="0.35">
      <c r="A43" t="s">
        <v>216</v>
      </c>
      <c r="B43" t="str">
        <f>"9780230601659"</f>
        <v>9780230601659</v>
      </c>
      <c r="C43" t="s">
        <v>217</v>
      </c>
      <c r="D43" t="s">
        <v>218</v>
      </c>
      <c r="E43" t="s">
        <v>219</v>
      </c>
      <c r="G43" t="s">
        <v>39</v>
      </c>
      <c r="H43" t="s">
        <v>220</v>
      </c>
    </row>
    <row r="44" spans="1:8" x14ac:dyDescent="0.35">
      <c r="A44" t="s">
        <v>221</v>
      </c>
      <c r="B44" t="str">
        <f>"9781403977229"</f>
        <v>9781403977229</v>
      </c>
      <c r="C44" t="s">
        <v>222</v>
      </c>
      <c r="D44" t="s">
        <v>223</v>
      </c>
      <c r="E44" t="s">
        <v>219</v>
      </c>
      <c r="F44" t="s">
        <v>224</v>
      </c>
      <c r="G44" t="s">
        <v>96</v>
      </c>
      <c r="H44" t="s">
        <v>225</v>
      </c>
    </row>
    <row r="45" spans="1:8" x14ac:dyDescent="0.35">
      <c r="A45" t="s">
        <v>226</v>
      </c>
      <c r="B45" t="str">
        <f>"9780230601451"</f>
        <v>9780230601451</v>
      </c>
      <c r="C45" t="s">
        <v>227</v>
      </c>
      <c r="D45" t="s">
        <v>228</v>
      </c>
      <c r="E45" t="s">
        <v>219</v>
      </c>
      <c r="G45" t="s">
        <v>133</v>
      </c>
      <c r="H45" t="s">
        <v>229</v>
      </c>
    </row>
    <row r="46" spans="1:8" x14ac:dyDescent="0.35">
      <c r="A46" t="s">
        <v>230</v>
      </c>
      <c r="B46" t="str">
        <f>"9780230601833"</f>
        <v>9780230601833</v>
      </c>
      <c r="C46" t="s">
        <v>231</v>
      </c>
      <c r="D46" t="s">
        <v>232</v>
      </c>
      <c r="E46" t="s">
        <v>219</v>
      </c>
      <c r="G46" t="s">
        <v>39</v>
      </c>
      <c r="H46" t="s">
        <v>233</v>
      </c>
    </row>
    <row r="47" spans="1:8" x14ac:dyDescent="0.35">
      <c r="A47" t="s">
        <v>234</v>
      </c>
      <c r="B47" t="str">
        <f>"9781403982636"</f>
        <v>9781403982636</v>
      </c>
      <c r="C47" t="s">
        <v>235</v>
      </c>
      <c r="D47" t="s">
        <v>236</v>
      </c>
      <c r="E47" t="s">
        <v>219</v>
      </c>
      <c r="G47" t="s">
        <v>39</v>
      </c>
      <c r="H47" t="s">
        <v>237</v>
      </c>
    </row>
    <row r="48" spans="1:8" x14ac:dyDescent="0.35">
      <c r="A48" t="s">
        <v>238</v>
      </c>
      <c r="B48" t="str">
        <f>"9780230604360"</f>
        <v>9780230604360</v>
      </c>
      <c r="C48" t="s">
        <v>239</v>
      </c>
      <c r="D48" t="s">
        <v>240</v>
      </c>
      <c r="E48" t="s">
        <v>219</v>
      </c>
      <c r="F48" t="s">
        <v>241</v>
      </c>
      <c r="G48" t="s">
        <v>39</v>
      </c>
      <c r="H48" t="s">
        <v>242</v>
      </c>
    </row>
    <row r="49" spans="1:8" x14ac:dyDescent="0.35">
      <c r="A49" t="s">
        <v>243</v>
      </c>
      <c r="B49" t="str">
        <f>"9780230601727"</f>
        <v>9780230601727</v>
      </c>
      <c r="C49" t="s">
        <v>244</v>
      </c>
      <c r="D49" t="s">
        <v>245</v>
      </c>
      <c r="E49" t="s">
        <v>219</v>
      </c>
      <c r="G49" t="s">
        <v>39</v>
      </c>
      <c r="H49" t="s">
        <v>246</v>
      </c>
    </row>
    <row r="50" spans="1:8" x14ac:dyDescent="0.35">
      <c r="A50" t="s">
        <v>247</v>
      </c>
      <c r="B50" t="str">
        <f>"9781403983381"</f>
        <v>9781403983381</v>
      </c>
      <c r="C50" t="s">
        <v>248</v>
      </c>
      <c r="D50" t="s">
        <v>249</v>
      </c>
      <c r="E50" t="s">
        <v>219</v>
      </c>
      <c r="F50" t="s">
        <v>241</v>
      </c>
      <c r="G50" t="s">
        <v>60</v>
      </c>
      <c r="H50" t="s">
        <v>250</v>
      </c>
    </row>
    <row r="51" spans="1:8" x14ac:dyDescent="0.35">
      <c r="A51" t="s">
        <v>251</v>
      </c>
      <c r="B51" t="str">
        <f>"9780230601413"</f>
        <v>9780230601413</v>
      </c>
      <c r="C51" t="s">
        <v>252</v>
      </c>
      <c r="D51" t="s">
        <v>253</v>
      </c>
      <c r="E51" t="s">
        <v>219</v>
      </c>
      <c r="G51" t="s">
        <v>254</v>
      </c>
      <c r="H51" t="s">
        <v>255</v>
      </c>
    </row>
    <row r="52" spans="1:8" x14ac:dyDescent="0.35">
      <c r="A52" t="s">
        <v>256</v>
      </c>
      <c r="B52" t="str">
        <f>"9780230603042"</f>
        <v>9780230603042</v>
      </c>
      <c r="C52" t="s">
        <v>257</v>
      </c>
      <c r="D52" t="s">
        <v>258</v>
      </c>
      <c r="E52" t="s">
        <v>219</v>
      </c>
      <c r="F52" t="s">
        <v>224</v>
      </c>
      <c r="G52" t="s">
        <v>55</v>
      </c>
      <c r="H52" t="s">
        <v>259</v>
      </c>
    </row>
    <row r="53" spans="1:8" x14ac:dyDescent="0.35">
      <c r="A53" t="s">
        <v>260</v>
      </c>
      <c r="B53" t="str">
        <f>"9780803215832"</f>
        <v>9780803215832</v>
      </c>
      <c r="C53" t="s">
        <v>261</v>
      </c>
      <c r="D53" t="s">
        <v>262</v>
      </c>
      <c r="E53" t="s">
        <v>263</v>
      </c>
      <c r="G53" t="s">
        <v>39</v>
      </c>
      <c r="H53" t="s">
        <v>264</v>
      </c>
    </row>
    <row r="54" spans="1:8" x14ac:dyDescent="0.35">
      <c r="A54" t="s">
        <v>265</v>
      </c>
      <c r="B54" t="str">
        <f>"9780520940772"</f>
        <v>9780520940772</v>
      </c>
      <c r="C54" t="s">
        <v>266</v>
      </c>
      <c r="D54" t="s">
        <v>267</v>
      </c>
      <c r="E54" t="s">
        <v>69</v>
      </c>
      <c r="F54" t="s">
        <v>74</v>
      </c>
      <c r="G54" t="s">
        <v>268</v>
      </c>
      <c r="H54" t="s">
        <v>269</v>
      </c>
    </row>
    <row r="55" spans="1:8" x14ac:dyDescent="0.35">
      <c r="A55" t="s">
        <v>270</v>
      </c>
      <c r="B55" t="str">
        <f>"9780816698486"</f>
        <v>9780816698486</v>
      </c>
      <c r="C55" t="s">
        <v>271</v>
      </c>
      <c r="D55" t="s">
        <v>272</v>
      </c>
      <c r="E55" t="s">
        <v>273</v>
      </c>
      <c r="G55" t="s">
        <v>60</v>
      </c>
      <c r="H55" t="s">
        <v>274</v>
      </c>
    </row>
    <row r="56" spans="1:8" x14ac:dyDescent="0.35">
      <c r="A56" t="s">
        <v>275</v>
      </c>
      <c r="B56" t="str">
        <f>"9780816654444"</f>
        <v>9780816654444</v>
      </c>
      <c r="C56" t="s">
        <v>276</v>
      </c>
      <c r="D56" t="s">
        <v>277</v>
      </c>
      <c r="E56" t="s">
        <v>273</v>
      </c>
      <c r="G56" t="s">
        <v>60</v>
      </c>
      <c r="H56" t="s">
        <v>278</v>
      </c>
    </row>
    <row r="57" spans="1:8" x14ac:dyDescent="0.35">
      <c r="A57" t="s">
        <v>279</v>
      </c>
      <c r="B57" t="str">
        <f>"9780253116918"</f>
        <v>9780253116918</v>
      </c>
      <c r="C57" t="s">
        <v>280</v>
      </c>
      <c r="D57" t="s">
        <v>281</v>
      </c>
      <c r="E57" t="s">
        <v>151</v>
      </c>
      <c r="G57" t="s">
        <v>282</v>
      </c>
      <c r="H57" t="s">
        <v>283</v>
      </c>
    </row>
    <row r="58" spans="1:8" x14ac:dyDescent="0.35">
      <c r="A58" t="s">
        <v>284</v>
      </c>
      <c r="B58" t="str">
        <f>"9780253116963"</f>
        <v>9780253116963</v>
      </c>
      <c r="C58" t="s">
        <v>285</v>
      </c>
      <c r="D58" t="s">
        <v>286</v>
      </c>
      <c r="E58" t="s">
        <v>151</v>
      </c>
      <c r="G58" t="s">
        <v>139</v>
      </c>
      <c r="H58" t="s">
        <v>287</v>
      </c>
    </row>
    <row r="59" spans="1:8" x14ac:dyDescent="0.35">
      <c r="A59" t="s">
        <v>288</v>
      </c>
      <c r="B59" t="str">
        <f>"9780816654017"</f>
        <v>9780816654017</v>
      </c>
      <c r="C59" t="s">
        <v>289</v>
      </c>
      <c r="D59" t="s">
        <v>290</v>
      </c>
      <c r="E59" t="s">
        <v>273</v>
      </c>
      <c r="G59" t="s">
        <v>17</v>
      </c>
      <c r="H59" t="s">
        <v>291</v>
      </c>
    </row>
    <row r="60" spans="1:8" x14ac:dyDescent="0.35">
      <c r="A60" t="s">
        <v>292</v>
      </c>
      <c r="B60" t="str">
        <f>"9780816653898"</f>
        <v>9780816653898</v>
      </c>
      <c r="C60" t="s">
        <v>293</v>
      </c>
      <c r="D60" t="s">
        <v>294</v>
      </c>
      <c r="E60" t="s">
        <v>273</v>
      </c>
      <c r="G60" t="s">
        <v>39</v>
      </c>
      <c r="H60" t="s">
        <v>295</v>
      </c>
    </row>
    <row r="61" spans="1:8" x14ac:dyDescent="0.35">
      <c r="A61" t="s">
        <v>296</v>
      </c>
      <c r="B61" t="str">
        <f>"9780813544021"</f>
        <v>9780813544021</v>
      </c>
      <c r="C61" t="s">
        <v>297</v>
      </c>
      <c r="D61" t="s">
        <v>298</v>
      </c>
      <c r="E61" t="s">
        <v>299</v>
      </c>
      <c r="G61" t="s">
        <v>186</v>
      </c>
      <c r="H61" t="s">
        <v>300</v>
      </c>
    </row>
    <row r="62" spans="1:8" x14ac:dyDescent="0.35">
      <c r="A62" t="s">
        <v>301</v>
      </c>
      <c r="B62" t="str">
        <f>"9780511399725"</f>
        <v>9780511399725</v>
      </c>
      <c r="C62" t="s">
        <v>302</v>
      </c>
      <c r="D62" t="s">
        <v>303</v>
      </c>
      <c r="E62" t="s">
        <v>304</v>
      </c>
      <c r="G62" t="s">
        <v>305</v>
      </c>
      <c r="H62" t="s">
        <v>306</v>
      </c>
    </row>
    <row r="63" spans="1:8" x14ac:dyDescent="0.35">
      <c r="A63" t="s">
        <v>307</v>
      </c>
      <c r="B63" t="str">
        <f>"9780816653966"</f>
        <v>9780816653966</v>
      </c>
      <c r="C63" t="s">
        <v>308</v>
      </c>
      <c r="D63" t="s">
        <v>309</v>
      </c>
      <c r="E63" t="s">
        <v>273</v>
      </c>
      <c r="F63" t="s">
        <v>310</v>
      </c>
      <c r="G63" t="s">
        <v>60</v>
      </c>
      <c r="H63" t="s">
        <v>311</v>
      </c>
    </row>
    <row r="64" spans="1:8" x14ac:dyDescent="0.35">
      <c r="A64" t="s">
        <v>312</v>
      </c>
      <c r="B64" t="str">
        <f>"9781592135837"</f>
        <v>9781592135837</v>
      </c>
      <c r="C64" t="s">
        <v>313</v>
      </c>
      <c r="D64" t="s">
        <v>314</v>
      </c>
      <c r="E64" t="s">
        <v>162</v>
      </c>
      <c r="F64" t="s">
        <v>315</v>
      </c>
      <c r="G64" t="s">
        <v>17</v>
      </c>
      <c r="H64" t="s">
        <v>316</v>
      </c>
    </row>
    <row r="65" spans="1:8" x14ac:dyDescent="0.35">
      <c r="A65" t="s">
        <v>317</v>
      </c>
      <c r="B65" t="str">
        <f>"9780816656585"</f>
        <v>9780816656585</v>
      </c>
      <c r="C65" t="s">
        <v>318</v>
      </c>
      <c r="D65" t="s">
        <v>319</v>
      </c>
      <c r="E65" t="s">
        <v>273</v>
      </c>
      <c r="F65" t="s">
        <v>310</v>
      </c>
      <c r="G65" t="s">
        <v>60</v>
      </c>
      <c r="H65" t="s">
        <v>320</v>
      </c>
    </row>
    <row r="66" spans="1:8" x14ac:dyDescent="0.35">
      <c r="A66" t="s">
        <v>321</v>
      </c>
      <c r="B66" t="str">
        <f>"9780520942684"</f>
        <v>9780520942684</v>
      </c>
      <c r="C66" t="s">
        <v>322</v>
      </c>
      <c r="D66" t="s">
        <v>323</v>
      </c>
      <c r="E66" t="s">
        <v>69</v>
      </c>
      <c r="G66" t="s">
        <v>44</v>
      </c>
      <c r="H66" t="s">
        <v>324</v>
      </c>
    </row>
    <row r="67" spans="1:8" x14ac:dyDescent="0.35">
      <c r="A67" t="s">
        <v>325</v>
      </c>
      <c r="B67" t="str">
        <f>"9780807886397"</f>
        <v>9780807886397</v>
      </c>
      <c r="C67" t="s">
        <v>326</v>
      </c>
      <c r="D67" t="s">
        <v>327</v>
      </c>
      <c r="E67" t="s">
        <v>328</v>
      </c>
      <c r="F67" t="s">
        <v>329</v>
      </c>
      <c r="G67" t="s">
        <v>139</v>
      </c>
      <c r="H67" t="s">
        <v>330</v>
      </c>
    </row>
    <row r="68" spans="1:8" x14ac:dyDescent="0.35">
      <c r="A68" t="s">
        <v>331</v>
      </c>
      <c r="B68" t="str">
        <f>"9780203882740"</f>
        <v>9780203882740</v>
      </c>
      <c r="C68" t="s">
        <v>332</v>
      </c>
      <c r="D68" t="s">
        <v>333</v>
      </c>
      <c r="E68" t="s">
        <v>11</v>
      </c>
      <c r="G68" t="s">
        <v>334</v>
      </c>
      <c r="H68" t="s">
        <v>335</v>
      </c>
    </row>
    <row r="69" spans="1:8" x14ac:dyDescent="0.35">
      <c r="A69" t="s">
        <v>336</v>
      </c>
      <c r="B69" t="str">
        <f>"9781781387979"</f>
        <v>9781781387979</v>
      </c>
      <c r="C69" t="s">
        <v>337</v>
      </c>
      <c r="D69" t="s">
        <v>338</v>
      </c>
      <c r="E69" t="s">
        <v>339</v>
      </c>
      <c r="F69" t="s">
        <v>340</v>
      </c>
      <c r="G69" t="s">
        <v>39</v>
      </c>
      <c r="H69" t="s">
        <v>341</v>
      </c>
    </row>
    <row r="70" spans="1:8" x14ac:dyDescent="0.35">
      <c r="A70" t="s">
        <v>342</v>
      </c>
      <c r="B70" t="str">
        <f>"9780813546247"</f>
        <v>9780813546247</v>
      </c>
      <c r="C70" t="s">
        <v>343</v>
      </c>
      <c r="D70" t="s">
        <v>344</v>
      </c>
      <c r="E70" t="s">
        <v>299</v>
      </c>
      <c r="G70" t="s">
        <v>39</v>
      </c>
      <c r="H70" t="s">
        <v>345</v>
      </c>
    </row>
    <row r="71" spans="1:8" x14ac:dyDescent="0.35">
      <c r="A71" t="s">
        <v>346</v>
      </c>
      <c r="B71" t="str">
        <f>"9780199721245"</f>
        <v>9780199721245</v>
      </c>
      <c r="C71" t="s">
        <v>347</v>
      </c>
      <c r="D71" t="s">
        <v>348</v>
      </c>
      <c r="E71" t="s">
        <v>349</v>
      </c>
      <c r="G71" t="s">
        <v>350</v>
      </c>
      <c r="H71" t="s">
        <v>351</v>
      </c>
    </row>
    <row r="72" spans="1:8" x14ac:dyDescent="0.35">
      <c r="A72" t="s">
        <v>352</v>
      </c>
      <c r="B72" t="str">
        <f>"9780199716890"</f>
        <v>9780199716890</v>
      </c>
      <c r="C72" t="s">
        <v>353</v>
      </c>
      <c r="D72" t="s">
        <v>354</v>
      </c>
      <c r="E72" t="s">
        <v>355</v>
      </c>
      <c r="F72" t="s">
        <v>356</v>
      </c>
      <c r="G72" t="s">
        <v>139</v>
      </c>
      <c r="H72" t="s">
        <v>357</v>
      </c>
    </row>
    <row r="73" spans="1:8" x14ac:dyDescent="0.35">
      <c r="A73" t="s">
        <v>358</v>
      </c>
      <c r="B73" t="str">
        <f>"9780191527500"</f>
        <v>9780191527500</v>
      </c>
      <c r="C73" t="s">
        <v>359</v>
      </c>
      <c r="D73" t="s">
        <v>360</v>
      </c>
      <c r="E73" t="s">
        <v>361</v>
      </c>
      <c r="F73" t="s">
        <v>362</v>
      </c>
      <c r="G73" t="s">
        <v>305</v>
      </c>
      <c r="H73" t="s">
        <v>363</v>
      </c>
    </row>
    <row r="74" spans="1:8" x14ac:dyDescent="0.35">
      <c r="A74" t="s">
        <v>364</v>
      </c>
      <c r="B74" t="str">
        <f>"9780754682363"</f>
        <v>9780754682363</v>
      </c>
      <c r="C74" t="s">
        <v>365</v>
      </c>
      <c r="D74" t="s">
        <v>366</v>
      </c>
      <c r="E74" t="s">
        <v>11</v>
      </c>
      <c r="G74" t="s">
        <v>186</v>
      </c>
      <c r="H74" t="s">
        <v>367</v>
      </c>
    </row>
    <row r="75" spans="1:8" x14ac:dyDescent="0.35">
      <c r="A75" t="s">
        <v>368</v>
      </c>
      <c r="B75" t="str">
        <f>"9780199706686"</f>
        <v>9780199706686</v>
      </c>
      <c r="C75" t="s">
        <v>369</v>
      </c>
      <c r="D75" t="s">
        <v>370</v>
      </c>
      <c r="E75" t="s">
        <v>349</v>
      </c>
      <c r="G75" t="s">
        <v>371</v>
      </c>
      <c r="H75" t="s">
        <v>372</v>
      </c>
    </row>
    <row r="76" spans="1:8" x14ac:dyDescent="0.35">
      <c r="A76" t="s">
        <v>373</v>
      </c>
      <c r="B76" t="str">
        <f>"9780199721870"</f>
        <v>9780199721870</v>
      </c>
      <c r="C76" t="s">
        <v>374</v>
      </c>
      <c r="D76" t="s">
        <v>375</v>
      </c>
      <c r="E76" t="s">
        <v>355</v>
      </c>
      <c r="G76" t="s">
        <v>376</v>
      </c>
      <c r="H76" t="s">
        <v>377</v>
      </c>
    </row>
    <row r="77" spans="1:8" x14ac:dyDescent="0.35">
      <c r="A77" t="s">
        <v>378</v>
      </c>
      <c r="B77" t="str">
        <f>"9780226733562"</f>
        <v>9780226733562</v>
      </c>
      <c r="C77" t="s">
        <v>379</v>
      </c>
      <c r="D77" t="s">
        <v>380</v>
      </c>
      <c r="E77" t="s">
        <v>381</v>
      </c>
      <c r="G77" t="s">
        <v>382</v>
      </c>
      <c r="H77" t="s">
        <v>383</v>
      </c>
    </row>
    <row r="78" spans="1:8" x14ac:dyDescent="0.35">
      <c r="A78" t="s">
        <v>384</v>
      </c>
      <c r="B78" t="str">
        <f>"9780203866689"</f>
        <v>9780203866689</v>
      </c>
      <c r="C78" t="s">
        <v>385</v>
      </c>
      <c r="D78" t="s">
        <v>386</v>
      </c>
      <c r="E78" t="s">
        <v>11</v>
      </c>
      <c r="G78" t="s">
        <v>28</v>
      </c>
      <c r="H78" t="s">
        <v>387</v>
      </c>
    </row>
    <row r="79" spans="1:8" x14ac:dyDescent="0.35">
      <c r="A79" t="s">
        <v>388</v>
      </c>
      <c r="B79" t="str">
        <f>"9780816656554"</f>
        <v>9780816656554</v>
      </c>
      <c r="C79" t="s">
        <v>389</v>
      </c>
      <c r="D79" t="s">
        <v>390</v>
      </c>
      <c r="E79" t="s">
        <v>273</v>
      </c>
      <c r="G79" t="s">
        <v>60</v>
      </c>
      <c r="H79" t="s">
        <v>391</v>
      </c>
    </row>
    <row r="80" spans="1:8" x14ac:dyDescent="0.35">
      <c r="A80" t="s">
        <v>392</v>
      </c>
      <c r="B80" t="str">
        <f>"9780816666485"</f>
        <v>9780816666485</v>
      </c>
      <c r="C80" t="s">
        <v>393</v>
      </c>
      <c r="D80" t="s">
        <v>394</v>
      </c>
      <c r="E80" t="s">
        <v>273</v>
      </c>
      <c r="G80" t="s">
        <v>376</v>
      </c>
      <c r="H80" t="s">
        <v>395</v>
      </c>
    </row>
    <row r="81" spans="1:8" x14ac:dyDescent="0.35">
      <c r="A81" t="s">
        <v>396</v>
      </c>
      <c r="B81" t="str">
        <f>"9780816666249"</f>
        <v>9780816666249</v>
      </c>
      <c r="C81" t="s">
        <v>397</v>
      </c>
      <c r="D81" t="s">
        <v>398</v>
      </c>
      <c r="E81" t="s">
        <v>273</v>
      </c>
      <c r="G81" t="s">
        <v>55</v>
      </c>
      <c r="H81" t="s">
        <v>399</v>
      </c>
    </row>
    <row r="82" spans="1:8" x14ac:dyDescent="0.35">
      <c r="A82" t="s">
        <v>400</v>
      </c>
      <c r="B82" t="str">
        <f>"9780813546988"</f>
        <v>9780813546988</v>
      </c>
      <c r="C82" t="s">
        <v>401</v>
      </c>
      <c r="D82" t="s">
        <v>402</v>
      </c>
      <c r="E82" t="s">
        <v>299</v>
      </c>
      <c r="G82" t="s">
        <v>55</v>
      </c>
      <c r="H82" t="s">
        <v>403</v>
      </c>
    </row>
    <row r="83" spans="1:8" x14ac:dyDescent="0.35">
      <c r="A83" t="s">
        <v>404</v>
      </c>
      <c r="B83" t="str">
        <f>"9780813546964"</f>
        <v>9780813546964</v>
      </c>
      <c r="C83" t="s">
        <v>405</v>
      </c>
      <c r="D83" t="s">
        <v>406</v>
      </c>
      <c r="E83" t="s">
        <v>299</v>
      </c>
      <c r="F83" t="s">
        <v>407</v>
      </c>
      <c r="G83" t="s">
        <v>39</v>
      </c>
      <c r="H83" t="s">
        <v>408</v>
      </c>
    </row>
    <row r="84" spans="1:8" x14ac:dyDescent="0.35">
      <c r="A84" t="s">
        <v>409</v>
      </c>
      <c r="B84" t="str">
        <f>"9780813547138"</f>
        <v>9780813547138</v>
      </c>
      <c r="C84" t="s">
        <v>410</v>
      </c>
      <c r="D84" t="s">
        <v>411</v>
      </c>
      <c r="E84" t="s">
        <v>299</v>
      </c>
      <c r="F84" t="s">
        <v>412</v>
      </c>
      <c r="G84" t="s">
        <v>83</v>
      </c>
      <c r="H84" t="s">
        <v>413</v>
      </c>
    </row>
    <row r="85" spans="1:8" x14ac:dyDescent="0.35">
      <c r="A85" t="s">
        <v>414</v>
      </c>
      <c r="B85" t="str">
        <f>"9780817381042"</f>
        <v>9780817381042</v>
      </c>
      <c r="C85" t="s">
        <v>415</v>
      </c>
      <c r="D85" t="s">
        <v>416</v>
      </c>
      <c r="E85" t="s">
        <v>417</v>
      </c>
      <c r="F85" t="s">
        <v>418</v>
      </c>
      <c r="G85" t="s">
        <v>419</v>
      </c>
      <c r="H85" t="s">
        <v>420</v>
      </c>
    </row>
    <row r="86" spans="1:8" x14ac:dyDescent="0.35">
      <c r="A86" t="s">
        <v>421</v>
      </c>
      <c r="B86" t="str">
        <f>"9781400828067"</f>
        <v>9781400828067</v>
      </c>
      <c r="C86" t="s">
        <v>422</v>
      </c>
      <c r="D86" t="s">
        <v>423</v>
      </c>
      <c r="E86" t="s">
        <v>424</v>
      </c>
      <c r="G86" t="s">
        <v>39</v>
      </c>
      <c r="H86" t="s">
        <v>425</v>
      </c>
    </row>
    <row r="87" spans="1:8" x14ac:dyDescent="0.35">
      <c r="A87" t="s">
        <v>426</v>
      </c>
      <c r="B87" t="str">
        <f>"9780203878989"</f>
        <v>9780203878989</v>
      </c>
      <c r="C87" t="s">
        <v>427</v>
      </c>
      <c r="D87" t="s">
        <v>428</v>
      </c>
      <c r="E87" t="s">
        <v>11</v>
      </c>
      <c r="G87" t="s">
        <v>305</v>
      </c>
      <c r="H87" t="s">
        <v>429</v>
      </c>
    </row>
    <row r="88" spans="1:8" x14ac:dyDescent="0.35">
      <c r="A88" t="s">
        <v>430</v>
      </c>
      <c r="B88" t="str">
        <f>"9780203926475"</f>
        <v>9780203926475</v>
      </c>
      <c r="C88" t="s">
        <v>431</v>
      </c>
      <c r="D88" t="s">
        <v>432</v>
      </c>
      <c r="E88" t="s">
        <v>11</v>
      </c>
      <c r="G88" t="s">
        <v>39</v>
      </c>
      <c r="H88" t="s">
        <v>433</v>
      </c>
    </row>
    <row r="89" spans="1:8" x14ac:dyDescent="0.35">
      <c r="A89" t="s">
        <v>434</v>
      </c>
      <c r="B89" t="str">
        <f>"9780203881002"</f>
        <v>9780203881002</v>
      </c>
      <c r="C89" t="s">
        <v>435</v>
      </c>
      <c r="D89" t="s">
        <v>436</v>
      </c>
      <c r="E89" t="s">
        <v>11</v>
      </c>
      <c r="G89" t="s">
        <v>44</v>
      </c>
      <c r="H89" t="s">
        <v>437</v>
      </c>
    </row>
    <row r="90" spans="1:8" x14ac:dyDescent="0.35">
      <c r="A90" t="s">
        <v>438</v>
      </c>
      <c r="B90" t="str">
        <f>"9781439900918"</f>
        <v>9781439900918</v>
      </c>
      <c r="C90" t="s">
        <v>439</v>
      </c>
      <c r="D90" t="s">
        <v>440</v>
      </c>
      <c r="E90" t="s">
        <v>162</v>
      </c>
      <c r="G90" t="s">
        <v>139</v>
      </c>
      <c r="H90" t="s">
        <v>441</v>
      </c>
    </row>
    <row r="91" spans="1:8" x14ac:dyDescent="0.35">
      <c r="A91" t="s">
        <v>442</v>
      </c>
      <c r="B91" t="str">
        <f>"9780203870747"</f>
        <v>9780203870747</v>
      </c>
      <c r="C91" t="s">
        <v>443</v>
      </c>
      <c r="D91" t="s">
        <v>444</v>
      </c>
      <c r="E91" t="s">
        <v>11</v>
      </c>
      <c r="F91" t="s">
        <v>445</v>
      </c>
      <c r="G91" t="s">
        <v>28</v>
      </c>
      <c r="H91" t="s">
        <v>446</v>
      </c>
    </row>
    <row r="92" spans="1:8" x14ac:dyDescent="0.35">
      <c r="A92" t="s">
        <v>447</v>
      </c>
      <c r="B92" t="str">
        <f>"9781848551916"</f>
        <v>9781848551916</v>
      </c>
      <c r="C92" t="s">
        <v>448</v>
      </c>
      <c r="D92" t="s">
        <v>449</v>
      </c>
      <c r="E92" t="s">
        <v>450</v>
      </c>
      <c r="F92" t="s">
        <v>451</v>
      </c>
      <c r="G92" t="s">
        <v>157</v>
      </c>
      <c r="H92" t="s">
        <v>452</v>
      </c>
    </row>
    <row r="93" spans="1:8" x14ac:dyDescent="0.35">
      <c r="A93" t="s">
        <v>453</v>
      </c>
      <c r="B93" t="str">
        <f>"9780199724918"</f>
        <v>9780199724918</v>
      </c>
      <c r="C93" t="s">
        <v>454</v>
      </c>
      <c r="D93" t="s">
        <v>455</v>
      </c>
      <c r="E93" t="s">
        <v>355</v>
      </c>
      <c r="G93" t="s">
        <v>44</v>
      </c>
      <c r="H93" t="s">
        <v>456</v>
      </c>
    </row>
    <row r="94" spans="1:8" x14ac:dyDescent="0.35">
      <c r="A94" t="s">
        <v>457</v>
      </c>
      <c r="B94" t="str">
        <f>"9780817380120"</f>
        <v>9780817380120</v>
      </c>
      <c r="C94" t="s">
        <v>458</v>
      </c>
      <c r="D94" t="s">
        <v>459</v>
      </c>
      <c r="E94" t="s">
        <v>417</v>
      </c>
      <c r="G94" t="s">
        <v>44</v>
      </c>
      <c r="H94" t="s">
        <v>460</v>
      </c>
    </row>
    <row r="95" spans="1:8" x14ac:dyDescent="0.35">
      <c r="A95" t="s">
        <v>461</v>
      </c>
      <c r="B95" t="str">
        <f>"9780817381172"</f>
        <v>9780817381172</v>
      </c>
      <c r="C95" t="s">
        <v>462</v>
      </c>
      <c r="D95" t="s">
        <v>463</v>
      </c>
      <c r="E95" t="s">
        <v>417</v>
      </c>
      <c r="F95" t="s">
        <v>464</v>
      </c>
      <c r="G95" t="s">
        <v>44</v>
      </c>
      <c r="H95" t="s">
        <v>465</v>
      </c>
    </row>
    <row r="96" spans="1:8" x14ac:dyDescent="0.35">
      <c r="A96" t="s">
        <v>466</v>
      </c>
      <c r="B96" t="str">
        <f>"9780807867723"</f>
        <v>9780807867723</v>
      </c>
      <c r="C96" t="s">
        <v>467</v>
      </c>
      <c r="D96" t="s">
        <v>468</v>
      </c>
      <c r="E96" t="s">
        <v>328</v>
      </c>
      <c r="G96" t="s">
        <v>44</v>
      </c>
      <c r="H96" t="s">
        <v>469</v>
      </c>
    </row>
    <row r="97" spans="1:8" x14ac:dyDescent="0.35">
      <c r="A97" t="s">
        <v>470</v>
      </c>
      <c r="B97" t="str">
        <f>"9780807888605"</f>
        <v>9780807888605</v>
      </c>
      <c r="C97" t="s">
        <v>471</v>
      </c>
      <c r="D97" t="s">
        <v>472</v>
      </c>
      <c r="E97" t="s">
        <v>328</v>
      </c>
      <c r="G97" t="s">
        <v>22</v>
      </c>
      <c r="H97" t="s">
        <v>473</v>
      </c>
    </row>
    <row r="98" spans="1:8" x14ac:dyDescent="0.35">
      <c r="A98" t="s">
        <v>474</v>
      </c>
      <c r="B98" t="str">
        <f>"9781400828333"</f>
        <v>9781400828333</v>
      </c>
      <c r="C98" t="s">
        <v>475</v>
      </c>
      <c r="D98" t="s">
        <v>476</v>
      </c>
      <c r="E98" t="s">
        <v>424</v>
      </c>
      <c r="G98" t="s">
        <v>376</v>
      </c>
      <c r="H98" t="s">
        <v>477</v>
      </c>
    </row>
    <row r="99" spans="1:8" x14ac:dyDescent="0.35">
      <c r="A99" t="s">
        <v>478</v>
      </c>
      <c r="B99" t="str">
        <f>"9780821371404"</f>
        <v>9780821371404</v>
      </c>
      <c r="C99" t="s">
        <v>479</v>
      </c>
      <c r="D99" t="s">
        <v>480</v>
      </c>
      <c r="E99" t="s">
        <v>481</v>
      </c>
      <c r="G99" t="s">
        <v>482</v>
      </c>
      <c r="H99" t="s">
        <v>483</v>
      </c>
    </row>
    <row r="100" spans="1:8" x14ac:dyDescent="0.35">
      <c r="A100" t="s">
        <v>484</v>
      </c>
      <c r="B100" t="str">
        <f>"9780821368718"</f>
        <v>9780821368718</v>
      </c>
      <c r="C100" t="s">
        <v>485</v>
      </c>
      <c r="D100" t="s">
        <v>486</v>
      </c>
      <c r="E100" t="s">
        <v>481</v>
      </c>
      <c r="G100" t="s">
        <v>17</v>
      </c>
      <c r="H100" t="s">
        <v>487</v>
      </c>
    </row>
    <row r="101" spans="1:8" x14ac:dyDescent="0.35">
      <c r="A101" t="s">
        <v>488</v>
      </c>
      <c r="B101" t="str">
        <f>"9780821374108"</f>
        <v>9780821374108</v>
      </c>
      <c r="C101" t="s">
        <v>489</v>
      </c>
      <c r="D101" t="s">
        <v>490</v>
      </c>
      <c r="E101" t="s">
        <v>481</v>
      </c>
      <c r="G101" t="s">
        <v>491</v>
      </c>
      <c r="H101" t="s">
        <v>492</v>
      </c>
    </row>
    <row r="102" spans="1:8" x14ac:dyDescent="0.35">
      <c r="A102" t="s">
        <v>493</v>
      </c>
      <c r="B102" t="str">
        <f>"9780821373095"</f>
        <v>9780821373095</v>
      </c>
      <c r="C102" t="s">
        <v>494</v>
      </c>
      <c r="D102" t="s">
        <v>495</v>
      </c>
      <c r="E102" t="s">
        <v>481</v>
      </c>
      <c r="F102" t="s">
        <v>496</v>
      </c>
      <c r="G102" t="s">
        <v>376</v>
      </c>
      <c r="H102" t="s">
        <v>497</v>
      </c>
    </row>
    <row r="103" spans="1:8" x14ac:dyDescent="0.35">
      <c r="A103" t="s">
        <v>498</v>
      </c>
      <c r="B103" t="str">
        <f>"9780821380253"</f>
        <v>9780821380253</v>
      </c>
      <c r="C103" t="s">
        <v>499</v>
      </c>
      <c r="D103" t="s">
        <v>500</v>
      </c>
      <c r="E103" t="s">
        <v>481</v>
      </c>
      <c r="F103" t="s">
        <v>496</v>
      </c>
      <c r="G103" t="s">
        <v>17</v>
      </c>
      <c r="H103" t="s">
        <v>501</v>
      </c>
    </row>
    <row r="104" spans="1:8" x14ac:dyDescent="0.35">
      <c r="A104" t="s">
        <v>502</v>
      </c>
      <c r="B104" t="str">
        <f>"9780203869888"</f>
        <v>9780203869888</v>
      </c>
      <c r="C104" t="s">
        <v>503</v>
      </c>
      <c r="D104" t="s">
        <v>504</v>
      </c>
      <c r="E104" t="s">
        <v>11</v>
      </c>
      <c r="F104" t="s">
        <v>505</v>
      </c>
      <c r="G104" t="s">
        <v>39</v>
      </c>
      <c r="H104" t="s">
        <v>506</v>
      </c>
    </row>
    <row r="105" spans="1:8" x14ac:dyDescent="0.35">
      <c r="A105" t="s">
        <v>507</v>
      </c>
      <c r="B105" t="str">
        <f>"9780203866078"</f>
        <v>9780203866078</v>
      </c>
      <c r="C105" t="s">
        <v>508</v>
      </c>
      <c r="D105" t="s">
        <v>509</v>
      </c>
      <c r="E105" t="s">
        <v>11</v>
      </c>
      <c r="G105" t="s">
        <v>112</v>
      </c>
      <c r="H105" t="s">
        <v>510</v>
      </c>
    </row>
    <row r="106" spans="1:8" x14ac:dyDescent="0.35">
      <c r="A106" t="s">
        <v>511</v>
      </c>
      <c r="B106" t="str">
        <f>"9780203865132"</f>
        <v>9780203865132</v>
      </c>
      <c r="C106" t="s">
        <v>512</v>
      </c>
      <c r="D106" t="s">
        <v>513</v>
      </c>
      <c r="E106" t="s">
        <v>11</v>
      </c>
      <c r="G106" t="s">
        <v>112</v>
      </c>
      <c r="H106" t="s">
        <v>514</v>
      </c>
    </row>
    <row r="107" spans="1:8" x14ac:dyDescent="0.35">
      <c r="A107" t="s">
        <v>515</v>
      </c>
      <c r="B107" t="str">
        <f>"9780739130599"</f>
        <v>9780739130599</v>
      </c>
      <c r="C107" t="s">
        <v>516</v>
      </c>
      <c r="D107" t="s">
        <v>517</v>
      </c>
      <c r="E107" t="s">
        <v>518</v>
      </c>
      <c r="F107" t="s">
        <v>519</v>
      </c>
      <c r="G107" t="s">
        <v>305</v>
      </c>
      <c r="H107" t="s">
        <v>520</v>
      </c>
    </row>
    <row r="108" spans="1:8" x14ac:dyDescent="0.35">
      <c r="A108" t="s">
        <v>521</v>
      </c>
      <c r="B108" t="str">
        <f>"9780742557710"</f>
        <v>9780742557710</v>
      </c>
      <c r="C108" t="s">
        <v>522</v>
      </c>
      <c r="D108" t="s">
        <v>523</v>
      </c>
      <c r="E108" t="s">
        <v>524</v>
      </c>
      <c r="F108" t="s">
        <v>525</v>
      </c>
      <c r="G108" t="s">
        <v>305</v>
      </c>
      <c r="H108" t="s">
        <v>526</v>
      </c>
    </row>
    <row r="109" spans="1:8" x14ac:dyDescent="0.35">
      <c r="A109" t="s">
        <v>527</v>
      </c>
      <c r="B109" t="str">
        <f>"9780810866607"</f>
        <v>9780810866607</v>
      </c>
      <c r="C109" t="s">
        <v>528</v>
      </c>
      <c r="D109" t="s">
        <v>529</v>
      </c>
      <c r="E109" t="s">
        <v>530</v>
      </c>
      <c r="G109" t="s">
        <v>531</v>
      </c>
      <c r="H109" t="s">
        <v>532</v>
      </c>
    </row>
    <row r="110" spans="1:8" x14ac:dyDescent="0.35">
      <c r="A110" t="s">
        <v>533</v>
      </c>
      <c r="B110" t="str">
        <f>"9780739132302"</f>
        <v>9780739132302</v>
      </c>
      <c r="C110" t="s">
        <v>534</v>
      </c>
      <c r="D110" t="s">
        <v>535</v>
      </c>
      <c r="E110" t="s">
        <v>518</v>
      </c>
      <c r="G110" t="s">
        <v>39</v>
      </c>
      <c r="H110" t="s">
        <v>536</v>
      </c>
    </row>
    <row r="111" spans="1:8" x14ac:dyDescent="0.35">
      <c r="A111" t="s">
        <v>537</v>
      </c>
      <c r="B111" t="str">
        <f>"9789047410881"</f>
        <v>9789047410881</v>
      </c>
      <c r="C111" t="s">
        <v>538</v>
      </c>
      <c r="D111" t="s">
        <v>539</v>
      </c>
      <c r="E111" t="s">
        <v>540</v>
      </c>
      <c r="F111" t="s">
        <v>541</v>
      </c>
      <c r="G111" t="s">
        <v>17</v>
      </c>
      <c r="H111" t="s">
        <v>542</v>
      </c>
    </row>
    <row r="112" spans="1:8" x14ac:dyDescent="0.35">
      <c r="A112" t="s">
        <v>543</v>
      </c>
      <c r="B112" t="str">
        <f>"9789047429845"</f>
        <v>9789047429845</v>
      </c>
      <c r="C112" t="s">
        <v>544</v>
      </c>
      <c r="D112" t="s">
        <v>545</v>
      </c>
      <c r="E112" t="s">
        <v>540</v>
      </c>
      <c r="F112" t="s">
        <v>546</v>
      </c>
      <c r="G112" t="s">
        <v>547</v>
      </c>
      <c r="H112" t="s">
        <v>548</v>
      </c>
    </row>
    <row r="113" spans="1:8" x14ac:dyDescent="0.35">
      <c r="A113" t="s">
        <v>549</v>
      </c>
      <c r="B113" t="str">
        <f>"9789047429920"</f>
        <v>9789047429920</v>
      </c>
      <c r="C113" t="s">
        <v>550</v>
      </c>
      <c r="D113" t="s">
        <v>551</v>
      </c>
      <c r="E113" t="s">
        <v>540</v>
      </c>
      <c r="F113" t="s">
        <v>552</v>
      </c>
      <c r="G113" t="s">
        <v>55</v>
      </c>
      <c r="H113" t="s">
        <v>553</v>
      </c>
    </row>
    <row r="114" spans="1:8" x14ac:dyDescent="0.35">
      <c r="A114" t="s">
        <v>554</v>
      </c>
      <c r="B114" t="str">
        <f>"9789047442776"</f>
        <v>9789047442776</v>
      </c>
      <c r="C114" t="s">
        <v>555</v>
      </c>
      <c r="D114" t="s">
        <v>556</v>
      </c>
      <c r="E114" t="s">
        <v>540</v>
      </c>
      <c r="F114" t="s">
        <v>557</v>
      </c>
      <c r="G114" t="s">
        <v>28</v>
      </c>
      <c r="H114" t="s">
        <v>558</v>
      </c>
    </row>
    <row r="115" spans="1:8" x14ac:dyDescent="0.35">
      <c r="A115" t="s">
        <v>559</v>
      </c>
      <c r="B115" t="str">
        <f>"9789047443551"</f>
        <v>9789047443551</v>
      </c>
      <c r="C115" t="s">
        <v>560</v>
      </c>
      <c r="D115" t="s">
        <v>561</v>
      </c>
      <c r="E115" t="s">
        <v>540</v>
      </c>
      <c r="F115" t="s">
        <v>562</v>
      </c>
      <c r="G115" t="s">
        <v>186</v>
      </c>
      <c r="H115" t="s">
        <v>563</v>
      </c>
    </row>
    <row r="116" spans="1:8" x14ac:dyDescent="0.35">
      <c r="A116" t="s">
        <v>564</v>
      </c>
      <c r="B116" t="str">
        <f>"9780470695746"</f>
        <v>9780470695746</v>
      </c>
      <c r="C116" t="s">
        <v>565</v>
      </c>
      <c r="D116" t="s">
        <v>566</v>
      </c>
      <c r="E116" t="s">
        <v>567</v>
      </c>
      <c r="G116" t="s">
        <v>55</v>
      </c>
      <c r="H116" t="s">
        <v>568</v>
      </c>
    </row>
    <row r="117" spans="1:8" x14ac:dyDescent="0.35">
      <c r="A117" t="s">
        <v>569</v>
      </c>
      <c r="B117" t="str">
        <f>"9780520932524"</f>
        <v>9780520932524</v>
      </c>
      <c r="C117" t="s">
        <v>570</v>
      </c>
      <c r="D117" t="s">
        <v>571</v>
      </c>
      <c r="E117" t="s">
        <v>69</v>
      </c>
      <c r="G117" t="s">
        <v>44</v>
      </c>
      <c r="H117" t="s">
        <v>572</v>
      </c>
    </row>
    <row r="118" spans="1:8" x14ac:dyDescent="0.35">
      <c r="A118" t="s">
        <v>573</v>
      </c>
      <c r="B118" t="str">
        <f>"9780803226920"</f>
        <v>9780803226920</v>
      </c>
      <c r="C118" t="s">
        <v>574</v>
      </c>
      <c r="D118" t="s">
        <v>575</v>
      </c>
      <c r="E118" t="s">
        <v>263</v>
      </c>
      <c r="F118" t="s">
        <v>576</v>
      </c>
      <c r="G118" t="s">
        <v>44</v>
      </c>
      <c r="H118" t="s">
        <v>577</v>
      </c>
    </row>
    <row r="119" spans="1:8" x14ac:dyDescent="0.35">
      <c r="A119" t="s">
        <v>578</v>
      </c>
      <c r="B119" t="str">
        <f>"9780816668144"</f>
        <v>9780816668144</v>
      </c>
      <c r="C119" t="s">
        <v>579</v>
      </c>
      <c r="D119" t="s">
        <v>580</v>
      </c>
      <c r="E119" t="s">
        <v>273</v>
      </c>
      <c r="G119" t="s">
        <v>60</v>
      </c>
      <c r="H119" t="s">
        <v>581</v>
      </c>
    </row>
    <row r="120" spans="1:8" x14ac:dyDescent="0.35">
      <c r="A120" t="s">
        <v>582</v>
      </c>
      <c r="B120" t="str">
        <f>"9780199705450"</f>
        <v>9780199705450</v>
      </c>
      <c r="C120" t="s">
        <v>583</v>
      </c>
      <c r="D120" t="s">
        <v>584</v>
      </c>
      <c r="E120" t="s">
        <v>355</v>
      </c>
      <c r="G120" t="s">
        <v>55</v>
      </c>
      <c r="H120" t="s">
        <v>585</v>
      </c>
    </row>
    <row r="121" spans="1:8" x14ac:dyDescent="0.35">
      <c r="A121" t="s">
        <v>586</v>
      </c>
      <c r="B121" t="str">
        <f>"9780815704201"</f>
        <v>9780815704201</v>
      </c>
      <c r="C121" t="s">
        <v>587</v>
      </c>
      <c r="D121" t="s">
        <v>588</v>
      </c>
      <c r="E121" t="s">
        <v>156</v>
      </c>
      <c r="G121" t="s">
        <v>17</v>
      </c>
      <c r="H121" t="s">
        <v>589</v>
      </c>
    </row>
    <row r="122" spans="1:8" x14ac:dyDescent="0.35">
      <c r="A122" t="s">
        <v>590</v>
      </c>
      <c r="B122" t="str">
        <f>"9781604862508"</f>
        <v>9781604862508</v>
      </c>
      <c r="C122" t="s">
        <v>591</v>
      </c>
      <c r="D122" t="s">
        <v>592</v>
      </c>
      <c r="E122" t="s">
        <v>593</v>
      </c>
      <c r="G122" t="s">
        <v>44</v>
      </c>
      <c r="H122" t="s">
        <v>594</v>
      </c>
    </row>
    <row r="123" spans="1:8" x14ac:dyDescent="0.35">
      <c r="A123" t="s">
        <v>595</v>
      </c>
      <c r="B123" t="str">
        <f>"9781569765593"</f>
        <v>9781569765593</v>
      </c>
      <c r="C123" t="s">
        <v>596</v>
      </c>
      <c r="D123" t="s">
        <v>597</v>
      </c>
      <c r="E123" t="s">
        <v>598</v>
      </c>
      <c r="G123" t="s">
        <v>39</v>
      </c>
      <c r="H123" t="s">
        <v>599</v>
      </c>
    </row>
    <row r="124" spans="1:8" x14ac:dyDescent="0.35">
      <c r="A124" t="s">
        <v>600</v>
      </c>
      <c r="B124" t="str">
        <f>"9780807898611"</f>
        <v>9780807898611</v>
      </c>
      <c r="C124" t="s">
        <v>601</v>
      </c>
      <c r="D124" t="s">
        <v>602</v>
      </c>
      <c r="E124" t="s">
        <v>328</v>
      </c>
      <c r="G124" t="s">
        <v>39</v>
      </c>
      <c r="H124" t="s">
        <v>603</v>
      </c>
    </row>
    <row r="125" spans="1:8" x14ac:dyDescent="0.35">
      <c r="A125" t="s">
        <v>604</v>
      </c>
      <c r="B125" t="str">
        <f>"9780807898635"</f>
        <v>9780807898635</v>
      </c>
      <c r="C125" t="s">
        <v>605</v>
      </c>
      <c r="D125" t="s">
        <v>606</v>
      </c>
      <c r="E125" t="s">
        <v>328</v>
      </c>
      <c r="G125" t="s">
        <v>55</v>
      </c>
      <c r="H125" t="s">
        <v>607</v>
      </c>
    </row>
    <row r="126" spans="1:8" x14ac:dyDescent="0.35">
      <c r="A126" t="s">
        <v>608</v>
      </c>
      <c r="B126" t="str">
        <f>"9780807888667"</f>
        <v>9780807888667</v>
      </c>
      <c r="C126" t="s">
        <v>609</v>
      </c>
      <c r="D126" t="s">
        <v>610</v>
      </c>
      <c r="E126" t="s">
        <v>328</v>
      </c>
      <c r="G126" t="s">
        <v>39</v>
      </c>
      <c r="H126" t="s">
        <v>611</v>
      </c>
    </row>
    <row r="127" spans="1:8" x14ac:dyDescent="0.35">
      <c r="A127" t="s">
        <v>612</v>
      </c>
      <c r="B127" t="str">
        <f>"9780817381165"</f>
        <v>9780817381165</v>
      </c>
      <c r="C127" t="s">
        <v>613</v>
      </c>
      <c r="D127" t="s">
        <v>614</v>
      </c>
      <c r="E127" t="s">
        <v>417</v>
      </c>
      <c r="F127" t="s">
        <v>464</v>
      </c>
      <c r="G127" t="s">
        <v>55</v>
      </c>
      <c r="H127" t="s">
        <v>615</v>
      </c>
    </row>
    <row r="128" spans="1:8" x14ac:dyDescent="0.35">
      <c r="A128" t="s">
        <v>616</v>
      </c>
      <c r="B128" t="str">
        <f>"9780821381465"</f>
        <v>9780821381465</v>
      </c>
      <c r="C128" t="s">
        <v>617</v>
      </c>
      <c r="D128" t="s">
        <v>618</v>
      </c>
      <c r="E128" t="s">
        <v>481</v>
      </c>
      <c r="F128" t="s">
        <v>619</v>
      </c>
      <c r="G128" t="s">
        <v>17</v>
      </c>
      <c r="H128" t="s">
        <v>620</v>
      </c>
    </row>
    <row r="129" spans="1:8" x14ac:dyDescent="0.35">
      <c r="A129" t="s">
        <v>621</v>
      </c>
      <c r="B129" t="str">
        <f>"9780821381113"</f>
        <v>9780821381113</v>
      </c>
      <c r="C129" t="s">
        <v>622</v>
      </c>
      <c r="D129" t="s">
        <v>623</v>
      </c>
      <c r="E129" t="s">
        <v>481</v>
      </c>
      <c r="F129" t="s">
        <v>624</v>
      </c>
      <c r="G129" t="s">
        <v>28</v>
      </c>
      <c r="H129" t="s">
        <v>625</v>
      </c>
    </row>
    <row r="130" spans="1:8" x14ac:dyDescent="0.35">
      <c r="A130" t="s">
        <v>626</v>
      </c>
      <c r="B130" t="str">
        <f>"9780821381236"</f>
        <v>9780821381236</v>
      </c>
      <c r="C130" t="s">
        <v>627</v>
      </c>
      <c r="D130" t="s">
        <v>628</v>
      </c>
      <c r="E130" t="s">
        <v>481</v>
      </c>
      <c r="G130" t="s">
        <v>491</v>
      </c>
      <c r="H130" t="s">
        <v>629</v>
      </c>
    </row>
    <row r="131" spans="1:8" x14ac:dyDescent="0.35">
      <c r="A131" t="s">
        <v>630</v>
      </c>
      <c r="B131" t="str">
        <f>"9780821381649"</f>
        <v>9780821381649</v>
      </c>
      <c r="C131" t="s">
        <v>631</v>
      </c>
      <c r="D131" t="s">
        <v>632</v>
      </c>
      <c r="E131" t="s">
        <v>481</v>
      </c>
      <c r="F131" t="s">
        <v>496</v>
      </c>
      <c r="G131" t="s">
        <v>39</v>
      </c>
      <c r="H131" t="s">
        <v>633</v>
      </c>
    </row>
    <row r="132" spans="1:8" x14ac:dyDescent="0.35">
      <c r="A132" t="s">
        <v>634</v>
      </c>
      <c r="B132" t="str">
        <f>"9780821380826"</f>
        <v>9780821380826</v>
      </c>
      <c r="C132" t="s">
        <v>635</v>
      </c>
      <c r="D132" t="s">
        <v>636</v>
      </c>
      <c r="E132" t="s">
        <v>481</v>
      </c>
      <c r="F132" t="s">
        <v>496</v>
      </c>
      <c r="G132" t="s">
        <v>83</v>
      </c>
      <c r="H132" t="s">
        <v>637</v>
      </c>
    </row>
    <row r="133" spans="1:8" x14ac:dyDescent="0.35">
      <c r="A133" t="s">
        <v>638</v>
      </c>
      <c r="B133" t="str">
        <f>"9780821380529"</f>
        <v>9780821380529</v>
      </c>
      <c r="C133" t="s">
        <v>639</v>
      </c>
      <c r="D133" t="s">
        <v>640</v>
      </c>
      <c r="E133" t="s">
        <v>481</v>
      </c>
      <c r="F133" t="s">
        <v>641</v>
      </c>
      <c r="G133" t="s">
        <v>157</v>
      </c>
      <c r="H133" t="s">
        <v>642</v>
      </c>
    </row>
    <row r="134" spans="1:8" x14ac:dyDescent="0.35">
      <c r="A134" t="s">
        <v>643</v>
      </c>
      <c r="B134" t="str">
        <f>"9780821380161"</f>
        <v>9780821380161</v>
      </c>
      <c r="C134" t="s">
        <v>644</v>
      </c>
      <c r="D134" t="s">
        <v>645</v>
      </c>
      <c r="E134" t="s">
        <v>481</v>
      </c>
      <c r="F134" t="s">
        <v>641</v>
      </c>
      <c r="G134" t="s">
        <v>17</v>
      </c>
      <c r="H134" t="s">
        <v>646</v>
      </c>
    </row>
    <row r="135" spans="1:8" x14ac:dyDescent="0.35">
      <c r="A135" t="s">
        <v>647</v>
      </c>
      <c r="B135" t="str">
        <f>"9780821380819"</f>
        <v>9780821380819</v>
      </c>
      <c r="C135" t="s">
        <v>648</v>
      </c>
      <c r="D135" t="s">
        <v>649</v>
      </c>
      <c r="E135" t="s">
        <v>481</v>
      </c>
      <c r="G135" t="s">
        <v>491</v>
      </c>
      <c r="H135" t="s">
        <v>650</v>
      </c>
    </row>
    <row r="136" spans="1:8" x14ac:dyDescent="0.35">
      <c r="A136" t="s">
        <v>651</v>
      </c>
      <c r="B136" t="str">
        <f>"9780821380246"</f>
        <v>9780821380246</v>
      </c>
      <c r="C136" t="s">
        <v>652</v>
      </c>
      <c r="D136" t="s">
        <v>653</v>
      </c>
      <c r="E136" t="s">
        <v>481</v>
      </c>
      <c r="G136" t="s">
        <v>17</v>
      </c>
      <c r="H136" t="s">
        <v>654</v>
      </c>
    </row>
    <row r="137" spans="1:8" x14ac:dyDescent="0.35">
      <c r="A137" t="s">
        <v>655</v>
      </c>
      <c r="B137" t="str">
        <f>"9780203860366"</f>
        <v>9780203860366</v>
      </c>
      <c r="C137" t="s">
        <v>656</v>
      </c>
      <c r="D137" t="s">
        <v>657</v>
      </c>
      <c r="E137" t="s">
        <v>11</v>
      </c>
      <c r="F137" t="s">
        <v>658</v>
      </c>
      <c r="G137" t="s">
        <v>96</v>
      </c>
      <c r="H137" t="s">
        <v>659</v>
      </c>
    </row>
    <row r="138" spans="1:8" x14ac:dyDescent="0.35">
      <c r="A138" t="s">
        <v>660</v>
      </c>
      <c r="B138" t="str">
        <f>"9780253003614"</f>
        <v>9780253003614</v>
      </c>
      <c r="C138" t="s">
        <v>661</v>
      </c>
      <c r="D138" t="s">
        <v>662</v>
      </c>
      <c r="E138" t="s">
        <v>151</v>
      </c>
      <c r="F138" t="s">
        <v>663</v>
      </c>
      <c r="G138" t="s">
        <v>44</v>
      </c>
      <c r="H138" t="s">
        <v>664</v>
      </c>
    </row>
    <row r="139" spans="1:8" x14ac:dyDescent="0.35">
      <c r="A139" t="s">
        <v>665</v>
      </c>
      <c r="B139" t="str">
        <f>"9780816667857"</f>
        <v>9780816667857</v>
      </c>
      <c r="C139" t="s">
        <v>666</v>
      </c>
      <c r="D139" t="s">
        <v>667</v>
      </c>
      <c r="E139" t="s">
        <v>273</v>
      </c>
      <c r="G139" t="s">
        <v>139</v>
      </c>
      <c r="H139" t="s">
        <v>668</v>
      </c>
    </row>
    <row r="140" spans="1:8" x14ac:dyDescent="0.35">
      <c r="A140" t="s">
        <v>669</v>
      </c>
      <c r="B140" t="str">
        <f>"9781400834679"</f>
        <v>9781400834679</v>
      </c>
      <c r="C140" t="s">
        <v>670</v>
      </c>
      <c r="D140" t="s">
        <v>671</v>
      </c>
      <c r="E140" t="s">
        <v>424</v>
      </c>
      <c r="G140" t="s">
        <v>22</v>
      </c>
      <c r="H140" t="s">
        <v>672</v>
      </c>
    </row>
    <row r="141" spans="1:8" x14ac:dyDescent="0.35">
      <c r="A141" t="s">
        <v>673</v>
      </c>
      <c r="B141" t="str">
        <f>"9780511672200"</f>
        <v>9780511672200</v>
      </c>
      <c r="C141" t="s">
        <v>674</v>
      </c>
      <c r="D141" t="s">
        <v>675</v>
      </c>
      <c r="E141" t="s">
        <v>304</v>
      </c>
      <c r="G141" t="s">
        <v>376</v>
      </c>
      <c r="H141" t="s">
        <v>676</v>
      </c>
    </row>
    <row r="142" spans="1:8" x14ac:dyDescent="0.35">
      <c r="A142" t="s">
        <v>677</v>
      </c>
      <c r="B142" t="str">
        <f>"9780804772914"</f>
        <v>9780804772914</v>
      </c>
      <c r="C142" t="s">
        <v>678</v>
      </c>
      <c r="D142" t="s">
        <v>679</v>
      </c>
      <c r="E142" t="s">
        <v>680</v>
      </c>
      <c r="G142" t="s">
        <v>96</v>
      </c>
      <c r="H142" t="s">
        <v>681</v>
      </c>
    </row>
    <row r="143" spans="1:8" x14ac:dyDescent="0.35">
      <c r="A143" t="s">
        <v>682</v>
      </c>
      <c r="B143" t="str">
        <f>"9780203854327"</f>
        <v>9780203854327</v>
      </c>
      <c r="C143" t="s">
        <v>683</v>
      </c>
      <c r="D143" t="s">
        <v>684</v>
      </c>
      <c r="E143" t="s">
        <v>11</v>
      </c>
      <c r="F143" t="s">
        <v>685</v>
      </c>
      <c r="G143" t="s">
        <v>28</v>
      </c>
      <c r="H143" t="s">
        <v>686</v>
      </c>
    </row>
    <row r="144" spans="1:8" x14ac:dyDescent="0.35">
      <c r="A144" t="s">
        <v>687</v>
      </c>
      <c r="B144" t="str">
        <f>"9780813391816"</f>
        <v>9780813391816</v>
      </c>
      <c r="C144" t="s">
        <v>688</v>
      </c>
      <c r="D144" t="s">
        <v>689</v>
      </c>
      <c r="E144" t="s">
        <v>11</v>
      </c>
      <c r="G144" t="s">
        <v>44</v>
      </c>
      <c r="H144" t="s">
        <v>690</v>
      </c>
    </row>
    <row r="145" spans="1:8" x14ac:dyDescent="0.35">
      <c r="A145" t="s">
        <v>691</v>
      </c>
      <c r="B145" t="str">
        <f>"9781848132092"</f>
        <v>9781848132092</v>
      </c>
      <c r="C145" t="s">
        <v>692</v>
      </c>
      <c r="D145" t="s">
        <v>693</v>
      </c>
      <c r="E145" t="s">
        <v>694</v>
      </c>
      <c r="F145" t="s">
        <v>695</v>
      </c>
      <c r="G145" t="s">
        <v>22</v>
      </c>
      <c r="H145" t="s">
        <v>696</v>
      </c>
    </row>
    <row r="146" spans="1:8" x14ac:dyDescent="0.35">
      <c r="A146" t="s">
        <v>697</v>
      </c>
      <c r="B146" t="str">
        <f>"9780313359033"</f>
        <v>9780313359033</v>
      </c>
      <c r="C146" t="s">
        <v>698</v>
      </c>
      <c r="D146" t="s">
        <v>699</v>
      </c>
      <c r="E146" t="s">
        <v>700</v>
      </c>
      <c r="F146" t="s">
        <v>701</v>
      </c>
      <c r="G146" t="s">
        <v>17</v>
      </c>
      <c r="H146" t="s">
        <v>702</v>
      </c>
    </row>
    <row r="147" spans="1:8" x14ac:dyDescent="0.35">
      <c r="A147" t="s">
        <v>703</v>
      </c>
      <c r="B147" t="str">
        <f>"9780313072246"</f>
        <v>9780313072246</v>
      </c>
      <c r="C147" t="s">
        <v>704</v>
      </c>
      <c r="D147" t="s">
        <v>529</v>
      </c>
      <c r="E147" t="s">
        <v>700</v>
      </c>
      <c r="F147" t="s">
        <v>705</v>
      </c>
      <c r="G147" t="s">
        <v>531</v>
      </c>
      <c r="H147" t="s">
        <v>706</v>
      </c>
    </row>
    <row r="148" spans="1:8" x14ac:dyDescent="0.35">
      <c r="A148" t="s">
        <v>707</v>
      </c>
      <c r="B148" t="str">
        <f>"9780708322796"</f>
        <v>9780708322796</v>
      </c>
      <c r="C148" t="s">
        <v>708</v>
      </c>
      <c r="D148" t="s">
        <v>709</v>
      </c>
      <c r="E148" t="s">
        <v>710</v>
      </c>
      <c r="F148" t="s">
        <v>711</v>
      </c>
      <c r="G148" t="s">
        <v>208</v>
      </c>
      <c r="H148" t="s">
        <v>712</v>
      </c>
    </row>
    <row r="149" spans="1:8" x14ac:dyDescent="0.35">
      <c r="A149" t="s">
        <v>713</v>
      </c>
      <c r="B149" t="str">
        <f>"9780313088605"</f>
        <v>9780313088605</v>
      </c>
      <c r="C149" t="s">
        <v>714</v>
      </c>
      <c r="D149" t="s">
        <v>715</v>
      </c>
      <c r="E149" t="s">
        <v>700</v>
      </c>
      <c r="G149" t="s">
        <v>44</v>
      </c>
      <c r="H149" t="s">
        <v>716</v>
      </c>
    </row>
    <row r="150" spans="1:8" x14ac:dyDescent="0.35">
      <c r="A150" t="s">
        <v>717</v>
      </c>
      <c r="B150" t="str">
        <f>"9780313062926"</f>
        <v>9780313062926</v>
      </c>
      <c r="C150" t="s">
        <v>718</v>
      </c>
      <c r="D150" t="s">
        <v>719</v>
      </c>
      <c r="E150" t="s">
        <v>720</v>
      </c>
      <c r="F150" t="s">
        <v>721</v>
      </c>
      <c r="G150" t="s">
        <v>55</v>
      </c>
      <c r="H150" t="s">
        <v>722</v>
      </c>
    </row>
    <row r="151" spans="1:8" x14ac:dyDescent="0.35">
      <c r="A151" t="s">
        <v>723</v>
      </c>
      <c r="B151" t="str">
        <f>"9780739135105"</f>
        <v>9780739135105</v>
      </c>
      <c r="C151" t="s">
        <v>724</v>
      </c>
      <c r="D151" t="s">
        <v>725</v>
      </c>
      <c r="E151" t="s">
        <v>518</v>
      </c>
      <c r="G151" t="s">
        <v>726</v>
      </c>
      <c r="H151" t="s">
        <v>727</v>
      </c>
    </row>
    <row r="152" spans="1:8" x14ac:dyDescent="0.35">
      <c r="A152" t="s">
        <v>728</v>
      </c>
      <c r="B152" t="str">
        <f>"9780815704324"</f>
        <v>9780815704324</v>
      </c>
      <c r="C152" t="s">
        <v>729</v>
      </c>
      <c r="D152" t="s">
        <v>730</v>
      </c>
      <c r="E152" t="s">
        <v>156</v>
      </c>
      <c r="G152" t="s">
        <v>22</v>
      </c>
      <c r="H152" t="s">
        <v>731</v>
      </c>
    </row>
    <row r="153" spans="1:8" x14ac:dyDescent="0.35">
      <c r="A153" t="s">
        <v>732</v>
      </c>
      <c r="B153" t="str">
        <f>"9781604734720"</f>
        <v>9781604734720</v>
      </c>
      <c r="C153" t="s">
        <v>733</v>
      </c>
      <c r="D153" t="s">
        <v>734</v>
      </c>
      <c r="E153" t="s">
        <v>735</v>
      </c>
      <c r="G153" t="s">
        <v>60</v>
      </c>
      <c r="H153" t="s">
        <v>736</v>
      </c>
    </row>
    <row r="154" spans="1:8" x14ac:dyDescent="0.35">
      <c r="A154" t="s">
        <v>737</v>
      </c>
      <c r="B154" t="str">
        <f>"9781604734065"</f>
        <v>9781604734065</v>
      </c>
      <c r="C154" t="s">
        <v>738</v>
      </c>
      <c r="D154" t="s">
        <v>739</v>
      </c>
      <c r="E154" t="s">
        <v>735</v>
      </c>
      <c r="G154" t="s">
        <v>139</v>
      </c>
      <c r="H154" t="s">
        <v>740</v>
      </c>
    </row>
    <row r="155" spans="1:8" x14ac:dyDescent="0.35">
      <c r="A155" t="s">
        <v>741</v>
      </c>
      <c r="B155" t="str">
        <f>"9781604731613"</f>
        <v>9781604731613</v>
      </c>
      <c r="C155" t="s">
        <v>742</v>
      </c>
      <c r="D155" t="s">
        <v>743</v>
      </c>
      <c r="E155" t="s">
        <v>735</v>
      </c>
      <c r="G155" t="s">
        <v>744</v>
      </c>
      <c r="H155" t="s">
        <v>745</v>
      </c>
    </row>
    <row r="156" spans="1:8" x14ac:dyDescent="0.35">
      <c r="A156" t="s">
        <v>746</v>
      </c>
      <c r="B156" t="str">
        <f>"9780807888865"</f>
        <v>9780807888865</v>
      </c>
      <c r="C156" t="s">
        <v>747</v>
      </c>
      <c r="D156" t="s">
        <v>748</v>
      </c>
      <c r="E156" t="s">
        <v>328</v>
      </c>
      <c r="F156" t="s">
        <v>749</v>
      </c>
      <c r="G156" t="s">
        <v>750</v>
      </c>
      <c r="H156" t="s">
        <v>751</v>
      </c>
    </row>
    <row r="157" spans="1:8" x14ac:dyDescent="0.35">
      <c r="A157" t="s">
        <v>752</v>
      </c>
      <c r="B157" t="str">
        <f>"9780807888933"</f>
        <v>9780807888933</v>
      </c>
      <c r="C157" t="s">
        <v>753</v>
      </c>
      <c r="D157" t="s">
        <v>754</v>
      </c>
      <c r="E157" t="s">
        <v>328</v>
      </c>
      <c r="G157" t="s">
        <v>55</v>
      </c>
      <c r="H157" t="s">
        <v>755</v>
      </c>
    </row>
    <row r="158" spans="1:8" x14ac:dyDescent="0.35">
      <c r="A158" t="s">
        <v>756</v>
      </c>
      <c r="B158" t="str">
        <f>"9783110224894"</f>
        <v>9783110224894</v>
      </c>
      <c r="C158" t="s">
        <v>757</v>
      </c>
      <c r="D158" t="s">
        <v>758</v>
      </c>
      <c r="E158" t="s">
        <v>759</v>
      </c>
      <c r="F158" t="s">
        <v>760</v>
      </c>
      <c r="G158" t="s">
        <v>761</v>
      </c>
      <c r="H158" t="s">
        <v>762</v>
      </c>
    </row>
    <row r="159" spans="1:8" x14ac:dyDescent="0.35">
      <c r="A159" t="s">
        <v>763</v>
      </c>
      <c r="B159" t="str">
        <f>"9780203857731"</f>
        <v>9780203857731</v>
      </c>
      <c r="C159" t="s">
        <v>764</v>
      </c>
      <c r="D159" t="s">
        <v>765</v>
      </c>
      <c r="E159" t="s">
        <v>11</v>
      </c>
      <c r="G159" t="s">
        <v>133</v>
      </c>
      <c r="H159" t="s">
        <v>766</v>
      </c>
    </row>
    <row r="160" spans="1:8" x14ac:dyDescent="0.35">
      <c r="A160" t="s">
        <v>767</v>
      </c>
      <c r="B160" t="str">
        <f>"9780511743368"</f>
        <v>9780511743368</v>
      </c>
      <c r="C160" t="s">
        <v>768</v>
      </c>
      <c r="D160" t="s">
        <v>769</v>
      </c>
      <c r="E160" t="s">
        <v>304</v>
      </c>
      <c r="G160" t="s">
        <v>157</v>
      </c>
      <c r="H160" t="s">
        <v>770</v>
      </c>
    </row>
    <row r="161" spans="1:8" x14ac:dyDescent="0.35">
      <c r="A161" t="s">
        <v>771</v>
      </c>
      <c r="B161" t="str">
        <f>"9780815704447"</f>
        <v>9780815704447</v>
      </c>
      <c r="C161" t="s">
        <v>772</v>
      </c>
      <c r="D161" t="s">
        <v>773</v>
      </c>
      <c r="E161" t="s">
        <v>156</v>
      </c>
      <c r="G161" t="s">
        <v>376</v>
      </c>
      <c r="H161" t="s">
        <v>774</v>
      </c>
    </row>
    <row r="162" spans="1:8" x14ac:dyDescent="0.35">
      <c r="A162" t="s">
        <v>775</v>
      </c>
      <c r="B162" t="str">
        <f>"9780804774277"</f>
        <v>9780804774277</v>
      </c>
      <c r="C162" t="s">
        <v>776</v>
      </c>
      <c r="D162" t="s">
        <v>777</v>
      </c>
      <c r="E162" t="s">
        <v>680</v>
      </c>
      <c r="G162" t="s">
        <v>44</v>
      </c>
      <c r="H162" t="s">
        <v>778</v>
      </c>
    </row>
    <row r="163" spans="1:8" x14ac:dyDescent="0.35">
      <c r="A163" t="s">
        <v>779</v>
      </c>
      <c r="B163" t="str">
        <f>"9780804773690"</f>
        <v>9780804773690</v>
      </c>
      <c r="C163" t="s">
        <v>780</v>
      </c>
      <c r="D163" t="s">
        <v>781</v>
      </c>
      <c r="E163" t="s">
        <v>680</v>
      </c>
      <c r="G163" t="s">
        <v>22</v>
      </c>
      <c r="H163" t="s">
        <v>782</v>
      </c>
    </row>
    <row r="164" spans="1:8" x14ac:dyDescent="0.35">
      <c r="A164" t="s">
        <v>783</v>
      </c>
      <c r="B164" t="str">
        <f>"9780804773782"</f>
        <v>9780804773782</v>
      </c>
      <c r="C164" t="s">
        <v>784</v>
      </c>
      <c r="D164" t="s">
        <v>785</v>
      </c>
      <c r="E164" t="s">
        <v>680</v>
      </c>
      <c r="G164" t="s">
        <v>83</v>
      </c>
      <c r="H164" t="s">
        <v>786</v>
      </c>
    </row>
    <row r="165" spans="1:8" x14ac:dyDescent="0.35">
      <c r="A165" t="s">
        <v>787</v>
      </c>
      <c r="B165" t="str">
        <f>"9780313358210"</f>
        <v>9780313358210</v>
      </c>
      <c r="C165" t="s">
        <v>788</v>
      </c>
      <c r="D165" t="s">
        <v>789</v>
      </c>
      <c r="E165" t="s">
        <v>700</v>
      </c>
      <c r="F165" t="s">
        <v>790</v>
      </c>
      <c r="G165" t="s">
        <v>83</v>
      </c>
      <c r="H165" t="s">
        <v>791</v>
      </c>
    </row>
    <row r="166" spans="1:8" x14ac:dyDescent="0.35">
      <c r="A166" t="s">
        <v>792</v>
      </c>
      <c r="B166" t="str">
        <f>"9780313364891"</f>
        <v>9780313364891</v>
      </c>
      <c r="C166" t="s">
        <v>793</v>
      </c>
      <c r="D166" t="s">
        <v>789</v>
      </c>
      <c r="E166" t="s">
        <v>700</v>
      </c>
      <c r="F166" t="s">
        <v>790</v>
      </c>
      <c r="G166" t="s">
        <v>17</v>
      </c>
      <c r="H166" t="s">
        <v>794</v>
      </c>
    </row>
    <row r="167" spans="1:8" x14ac:dyDescent="0.35">
      <c r="A167" t="s">
        <v>795</v>
      </c>
      <c r="B167" t="str">
        <f>"9781400835058"</f>
        <v>9781400835058</v>
      </c>
      <c r="C167" t="s">
        <v>796</v>
      </c>
      <c r="D167" t="s">
        <v>797</v>
      </c>
      <c r="E167" t="s">
        <v>424</v>
      </c>
      <c r="G167" t="s">
        <v>305</v>
      </c>
      <c r="H167" t="s">
        <v>798</v>
      </c>
    </row>
    <row r="168" spans="1:8" x14ac:dyDescent="0.35">
      <c r="A168" t="s">
        <v>799</v>
      </c>
      <c r="B168" t="str">
        <f>"9781847692641"</f>
        <v>9781847692641</v>
      </c>
      <c r="C168" t="s">
        <v>800</v>
      </c>
      <c r="D168" t="s">
        <v>801</v>
      </c>
      <c r="E168" t="s">
        <v>144</v>
      </c>
      <c r="F168" t="s">
        <v>802</v>
      </c>
      <c r="G168" t="s">
        <v>803</v>
      </c>
      <c r="H168" t="s">
        <v>804</v>
      </c>
    </row>
    <row r="169" spans="1:8" x14ac:dyDescent="0.35">
      <c r="A169" t="s">
        <v>805</v>
      </c>
      <c r="B169" t="str">
        <f>"9780804774703"</f>
        <v>9780804774703</v>
      </c>
      <c r="C169" t="s">
        <v>806</v>
      </c>
      <c r="D169" t="s">
        <v>807</v>
      </c>
      <c r="E169" t="s">
        <v>680</v>
      </c>
      <c r="G169" t="s">
        <v>305</v>
      </c>
      <c r="H169" t="s">
        <v>808</v>
      </c>
    </row>
    <row r="170" spans="1:8" x14ac:dyDescent="0.35">
      <c r="A170" t="s">
        <v>809</v>
      </c>
      <c r="B170" t="str">
        <f>"9781439900505"</f>
        <v>9781439900505</v>
      </c>
      <c r="C170" t="s">
        <v>810</v>
      </c>
      <c r="D170" t="s">
        <v>811</v>
      </c>
      <c r="E170" t="s">
        <v>162</v>
      </c>
      <c r="G170" t="s">
        <v>44</v>
      </c>
      <c r="H170" t="s">
        <v>812</v>
      </c>
    </row>
    <row r="171" spans="1:8" x14ac:dyDescent="0.35">
      <c r="A171" t="s">
        <v>813</v>
      </c>
      <c r="B171" t="str">
        <f>"9781592139262"</f>
        <v>9781592139262</v>
      </c>
      <c r="C171" t="s">
        <v>814</v>
      </c>
      <c r="D171" t="s">
        <v>815</v>
      </c>
      <c r="E171" t="s">
        <v>162</v>
      </c>
      <c r="G171" t="s">
        <v>305</v>
      </c>
      <c r="H171" t="s">
        <v>816</v>
      </c>
    </row>
    <row r="172" spans="1:8" x14ac:dyDescent="0.35">
      <c r="A172" t="s">
        <v>817</v>
      </c>
      <c r="B172" t="str">
        <f>"9780520945500"</f>
        <v>9780520945500</v>
      </c>
      <c r="C172" t="s">
        <v>818</v>
      </c>
      <c r="D172" t="s">
        <v>819</v>
      </c>
      <c r="E172" t="s">
        <v>69</v>
      </c>
      <c r="G172" t="s">
        <v>39</v>
      </c>
      <c r="H172" t="s">
        <v>820</v>
      </c>
    </row>
    <row r="173" spans="1:8" x14ac:dyDescent="0.35">
      <c r="A173" t="s">
        <v>821</v>
      </c>
      <c r="B173" t="str">
        <f>"9780226796109"</f>
        <v>9780226796109</v>
      </c>
      <c r="C173" t="s">
        <v>822</v>
      </c>
      <c r="D173" t="s">
        <v>823</v>
      </c>
      <c r="E173" t="s">
        <v>381</v>
      </c>
      <c r="F173" t="s">
        <v>824</v>
      </c>
      <c r="G173" t="s">
        <v>55</v>
      </c>
      <c r="H173" t="s">
        <v>825</v>
      </c>
    </row>
    <row r="174" spans="1:8" x14ac:dyDescent="0.35">
      <c r="A174" t="s">
        <v>826</v>
      </c>
      <c r="B174" t="str">
        <f>"9780816673407"</f>
        <v>9780816673407</v>
      </c>
      <c r="C174" t="s">
        <v>827</v>
      </c>
      <c r="D174" t="s">
        <v>828</v>
      </c>
      <c r="E174" t="s">
        <v>273</v>
      </c>
      <c r="G174" t="s">
        <v>39</v>
      </c>
      <c r="H174" t="s">
        <v>829</v>
      </c>
    </row>
    <row r="175" spans="1:8" x14ac:dyDescent="0.35">
      <c r="A175" t="s">
        <v>830</v>
      </c>
      <c r="B175" t="str">
        <f>"9780816667772"</f>
        <v>9780816667772</v>
      </c>
      <c r="C175" t="s">
        <v>831</v>
      </c>
      <c r="D175" t="s">
        <v>832</v>
      </c>
      <c r="E175" t="s">
        <v>273</v>
      </c>
      <c r="F175" t="s">
        <v>310</v>
      </c>
      <c r="G175" t="s">
        <v>39</v>
      </c>
      <c r="H175" t="s">
        <v>833</v>
      </c>
    </row>
    <row r="176" spans="1:8" x14ac:dyDescent="0.35">
      <c r="A176" t="s">
        <v>834</v>
      </c>
      <c r="B176" t="str">
        <f>"9780313382130"</f>
        <v>9780313382130</v>
      </c>
      <c r="C176" t="s">
        <v>835</v>
      </c>
      <c r="D176" t="s">
        <v>836</v>
      </c>
      <c r="E176" t="s">
        <v>700</v>
      </c>
      <c r="G176" t="s">
        <v>44</v>
      </c>
      <c r="H176" t="s">
        <v>837</v>
      </c>
    </row>
    <row r="177" spans="1:8" x14ac:dyDescent="0.35">
      <c r="A177" t="s">
        <v>838</v>
      </c>
      <c r="B177" t="str">
        <f>"9780313348037"</f>
        <v>9780313348037</v>
      </c>
      <c r="C177" t="s">
        <v>839</v>
      </c>
      <c r="D177" t="s">
        <v>840</v>
      </c>
      <c r="E177" t="s">
        <v>700</v>
      </c>
      <c r="F177" t="s">
        <v>790</v>
      </c>
      <c r="G177" t="s">
        <v>96</v>
      </c>
      <c r="H177" t="s">
        <v>841</v>
      </c>
    </row>
    <row r="178" spans="1:8" x14ac:dyDescent="0.35">
      <c r="A178" t="s">
        <v>842</v>
      </c>
      <c r="B178" t="str">
        <f>"9781569767542"</f>
        <v>9781569767542</v>
      </c>
      <c r="C178" t="s">
        <v>843</v>
      </c>
      <c r="D178" t="s">
        <v>844</v>
      </c>
      <c r="E178" t="s">
        <v>598</v>
      </c>
      <c r="G178" t="s">
        <v>44</v>
      </c>
      <c r="H178" t="s">
        <v>845</v>
      </c>
    </row>
    <row r="179" spans="1:8" x14ac:dyDescent="0.35">
      <c r="A179" t="s">
        <v>846</v>
      </c>
      <c r="B179" t="str">
        <f>"9780816673339"</f>
        <v>9780816673339</v>
      </c>
      <c r="C179" t="s">
        <v>847</v>
      </c>
      <c r="D179" t="s">
        <v>848</v>
      </c>
      <c r="E179" t="s">
        <v>273</v>
      </c>
      <c r="F179" t="s">
        <v>310</v>
      </c>
      <c r="G179" t="s">
        <v>17</v>
      </c>
      <c r="H179" t="s">
        <v>849</v>
      </c>
    </row>
    <row r="180" spans="1:8" x14ac:dyDescent="0.35">
      <c r="A180" t="s">
        <v>850</v>
      </c>
      <c r="B180" t="str">
        <f>"9780807898413"</f>
        <v>9780807898413</v>
      </c>
      <c r="C180" t="s">
        <v>851</v>
      </c>
      <c r="D180" t="s">
        <v>852</v>
      </c>
      <c r="E180" t="s">
        <v>328</v>
      </c>
      <c r="G180" t="s">
        <v>17</v>
      </c>
      <c r="H180" t="s">
        <v>853</v>
      </c>
    </row>
    <row r="181" spans="1:8" x14ac:dyDescent="0.35">
      <c r="A181" t="s">
        <v>854</v>
      </c>
      <c r="B181" t="str">
        <f>"9780816674848"</f>
        <v>9780816674848</v>
      </c>
      <c r="C181" t="s">
        <v>855</v>
      </c>
      <c r="D181" t="s">
        <v>856</v>
      </c>
      <c r="E181" t="s">
        <v>273</v>
      </c>
      <c r="G181" t="s">
        <v>305</v>
      </c>
      <c r="H181" t="s">
        <v>857</v>
      </c>
    </row>
    <row r="182" spans="1:8" x14ac:dyDescent="0.35">
      <c r="A182" t="s">
        <v>858</v>
      </c>
      <c r="B182" t="str">
        <f>"9780520947825"</f>
        <v>9780520947825</v>
      </c>
      <c r="C182" t="s">
        <v>859</v>
      </c>
      <c r="D182" t="s">
        <v>860</v>
      </c>
      <c r="E182" t="s">
        <v>69</v>
      </c>
      <c r="G182" t="s">
        <v>191</v>
      </c>
      <c r="H182" t="s">
        <v>861</v>
      </c>
    </row>
    <row r="183" spans="1:8" x14ac:dyDescent="0.35">
      <c r="A183" t="s">
        <v>862</v>
      </c>
      <c r="B183" t="str">
        <f>"9780520947528"</f>
        <v>9780520947528</v>
      </c>
      <c r="C183" t="s">
        <v>863</v>
      </c>
      <c r="D183" t="s">
        <v>864</v>
      </c>
      <c r="E183" t="s">
        <v>69</v>
      </c>
      <c r="G183" t="s">
        <v>17</v>
      </c>
      <c r="H183" t="s">
        <v>865</v>
      </c>
    </row>
    <row r="184" spans="1:8" x14ac:dyDescent="0.35">
      <c r="A184" t="s">
        <v>866</v>
      </c>
      <c r="B184" t="str">
        <f>"9780813391885"</f>
        <v>9780813391885</v>
      </c>
      <c r="C184" t="s">
        <v>867</v>
      </c>
      <c r="D184" t="s">
        <v>868</v>
      </c>
      <c r="E184" t="s">
        <v>11</v>
      </c>
      <c r="G184" t="s">
        <v>44</v>
      </c>
      <c r="H184" t="s">
        <v>869</v>
      </c>
    </row>
    <row r="185" spans="1:8" x14ac:dyDescent="0.35">
      <c r="A185" t="s">
        <v>870</v>
      </c>
      <c r="B185" t="str">
        <f>"9780520947924"</f>
        <v>9780520947924</v>
      </c>
      <c r="C185" t="s">
        <v>871</v>
      </c>
      <c r="D185" t="s">
        <v>872</v>
      </c>
      <c r="E185" t="s">
        <v>69</v>
      </c>
      <c r="G185" t="s">
        <v>186</v>
      </c>
      <c r="H185" t="s">
        <v>873</v>
      </c>
    </row>
    <row r="186" spans="1:8" x14ac:dyDescent="0.35">
      <c r="A186" t="s">
        <v>874</v>
      </c>
      <c r="B186" t="str">
        <f>"9780804775786"</f>
        <v>9780804775786</v>
      </c>
      <c r="C186" t="s">
        <v>875</v>
      </c>
      <c r="D186" t="s">
        <v>876</v>
      </c>
      <c r="E186" t="s">
        <v>680</v>
      </c>
      <c r="G186" t="s">
        <v>44</v>
      </c>
      <c r="H186" t="s">
        <v>877</v>
      </c>
    </row>
    <row r="187" spans="1:8" x14ac:dyDescent="0.35">
      <c r="A187" t="s">
        <v>878</v>
      </c>
      <c r="B187" t="str">
        <f>"9780804775069"</f>
        <v>9780804775069</v>
      </c>
      <c r="C187" t="s">
        <v>879</v>
      </c>
      <c r="D187" t="s">
        <v>880</v>
      </c>
      <c r="E187" t="s">
        <v>680</v>
      </c>
      <c r="G187" t="s">
        <v>44</v>
      </c>
      <c r="H187" t="s">
        <v>881</v>
      </c>
    </row>
    <row r="188" spans="1:8" x14ac:dyDescent="0.35">
      <c r="A188" t="s">
        <v>882</v>
      </c>
      <c r="B188" t="str">
        <f>"9780226062785"</f>
        <v>9780226062785</v>
      </c>
      <c r="C188" t="s">
        <v>883</v>
      </c>
      <c r="D188" t="s">
        <v>884</v>
      </c>
      <c r="E188" t="s">
        <v>381</v>
      </c>
      <c r="G188" t="s">
        <v>885</v>
      </c>
      <c r="H188" t="s">
        <v>886</v>
      </c>
    </row>
    <row r="189" spans="1:8" x14ac:dyDescent="0.35">
      <c r="A189" t="s">
        <v>887</v>
      </c>
      <c r="B189" t="str">
        <f>"9780253004710"</f>
        <v>9780253004710</v>
      </c>
      <c r="C189" t="s">
        <v>888</v>
      </c>
      <c r="D189" t="s">
        <v>889</v>
      </c>
      <c r="E189" t="s">
        <v>151</v>
      </c>
      <c r="G189" t="s">
        <v>305</v>
      </c>
      <c r="H189" t="s">
        <v>890</v>
      </c>
    </row>
    <row r="190" spans="1:8" x14ac:dyDescent="0.35">
      <c r="A190" t="s">
        <v>891</v>
      </c>
      <c r="B190" t="str">
        <f>"9780203846254"</f>
        <v>9780203846254</v>
      </c>
      <c r="C190" t="s">
        <v>892</v>
      </c>
      <c r="D190" t="s">
        <v>893</v>
      </c>
      <c r="E190" t="s">
        <v>11</v>
      </c>
      <c r="F190" t="s">
        <v>894</v>
      </c>
      <c r="G190" t="s">
        <v>17</v>
      </c>
      <c r="H190" t="s">
        <v>895</v>
      </c>
    </row>
    <row r="191" spans="1:8" x14ac:dyDescent="0.35">
      <c r="A191" t="s">
        <v>896</v>
      </c>
      <c r="B191" t="str">
        <f>"9780203843925"</f>
        <v>9780203843925</v>
      </c>
      <c r="C191" t="s">
        <v>897</v>
      </c>
      <c r="D191" t="s">
        <v>898</v>
      </c>
      <c r="E191" t="s">
        <v>11</v>
      </c>
      <c r="F191" t="s">
        <v>899</v>
      </c>
      <c r="G191" t="s">
        <v>146</v>
      </c>
      <c r="H191" t="s">
        <v>900</v>
      </c>
    </row>
    <row r="192" spans="1:8" x14ac:dyDescent="0.35">
      <c r="A192" t="s">
        <v>901</v>
      </c>
      <c r="B192" t="str">
        <f>"9780821382134"</f>
        <v>9780821382134</v>
      </c>
      <c r="C192" t="s">
        <v>902</v>
      </c>
      <c r="D192" t="s">
        <v>903</v>
      </c>
      <c r="E192" t="s">
        <v>481</v>
      </c>
      <c r="F192" t="s">
        <v>496</v>
      </c>
      <c r="G192" t="s">
        <v>39</v>
      </c>
      <c r="H192" t="s">
        <v>904</v>
      </c>
    </row>
    <row r="193" spans="1:8" x14ac:dyDescent="0.35">
      <c r="A193" t="s">
        <v>905</v>
      </c>
      <c r="B193" t="str">
        <f>"9780821383995"</f>
        <v>9780821383995</v>
      </c>
      <c r="C193" t="s">
        <v>906</v>
      </c>
      <c r="D193" t="s">
        <v>907</v>
      </c>
      <c r="E193" t="s">
        <v>481</v>
      </c>
      <c r="F193" t="s">
        <v>624</v>
      </c>
      <c r="G193" t="s">
        <v>197</v>
      </c>
      <c r="H193" t="s">
        <v>908</v>
      </c>
    </row>
    <row r="194" spans="1:8" x14ac:dyDescent="0.35">
      <c r="A194" t="s">
        <v>909</v>
      </c>
      <c r="B194" t="str">
        <f>"9780821383124"</f>
        <v>9780821383124</v>
      </c>
      <c r="C194" t="s">
        <v>910</v>
      </c>
      <c r="D194" t="s">
        <v>911</v>
      </c>
      <c r="E194" t="s">
        <v>481</v>
      </c>
      <c r="F194" t="s">
        <v>624</v>
      </c>
      <c r="G194" t="s">
        <v>17</v>
      </c>
      <c r="H194" t="s">
        <v>912</v>
      </c>
    </row>
    <row r="195" spans="1:8" x14ac:dyDescent="0.35">
      <c r="A195" t="s">
        <v>913</v>
      </c>
      <c r="B195" t="str">
        <f>"9780821382097"</f>
        <v>9780821382097</v>
      </c>
      <c r="C195" t="s">
        <v>914</v>
      </c>
      <c r="D195" t="s">
        <v>915</v>
      </c>
      <c r="E195" t="s">
        <v>481</v>
      </c>
      <c r="F195" t="s">
        <v>619</v>
      </c>
      <c r="G195" t="s">
        <v>157</v>
      </c>
      <c r="H195" t="s">
        <v>916</v>
      </c>
    </row>
    <row r="196" spans="1:8" x14ac:dyDescent="0.35">
      <c r="A196" t="s">
        <v>917</v>
      </c>
      <c r="B196" t="str">
        <f>"9780821383810"</f>
        <v>9780821383810</v>
      </c>
      <c r="C196" t="s">
        <v>918</v>
      </c>
      <c r="D196" t="s">
        <v>919</v>
      </c>
      <c r="E196" t="s">
        <v>481</v>
      </c>
      <c r="F196" t="s">
        <v>624</v>
      </c>
      <c r="G196" t="s">
        <v>920</v>
      </c>
      <c r="H196" t="s">
        <v>921</v>
      </c>
    </row>
    <row r="197" spans="1:8" x14ac:dyDescent="0.35">
      <c r="A197" t="s">
        <v>922</v>
      </c>
      <c r="B197" t="str">
        <f>"9780821383780"</f>
        <v>9780821383780</v>
      </c>
      <c r="C197" t="s">
        <v>923</v>
      </c>
      <c r="D197" t="s">
        <v>924</v>
      </c>
      <c r="E197" t="s">
        <v>481</v>
      </c>
      <c r="F197" t="s">
        <v>624</v>
      </c>
      <c r="G197" t="s">
        <v>157</v>
      </c>
      <c r="H197" t="s">
        <v>925</v>
      </c>
    </row>
    <row r="198" spans="1:8" x14ac:dyDescent="0.35">
      <c r="A198" t="s">
        <v>926</v>
      </c>
      <c r="B198" t="str">
        <f>"9781441167972"</f>
        <v>9781441167972</v>
      </c>
      <c r="C198" t="s">
        <v>927</v>
      </c>
      <c r="D198" t="s">
        <v>928</v>
      </c>
      <c r="E198" t="s">
        <v>929</v>
      </c>
      <c r="G198" t="s">
        <v>139</v>
      </c>
      <c r="H198" t="s">
        <v>930</v>
      </c>
    </row>
    <row r="199" spans="1:8" x14ac:dyDescent="0.35">
      <c r="A199" t="s">
        <v>931</v>
      </c>
      <c r="B199" t="str">
        <f>"9780807899601"</f>
        <v>9780807899601</v>
      </c>
      <c r="C199" t="s">
        <v>932</v>
      </c>
      <c r="D199" t="s">
        <v>933</v>
      </c>
      <c r="E199" t="s">
        <v>328</v>
      </c>
      <c r="G199" t="s">
        <v>44</v>
      </c>
      <c r="H199" t="s">
        <v>934</v>
      </c>
    </row>
    <row r="200" spans="1:8" x14ac:dyDescent="0.35">
      <c r="A200" t="s">
        <v>935</v>
      </c>
      <c r="B200" t="str">
        <f>"9780807899564"</f>
        <v>9780807899564</v>
      </c>
      <c r="C200" t="s">
        <v>936</v>
      </c>
      <c r="D200" t="s">
        <v>937</v>
      </c>
      <c r="E200" t="s">
        <v>328</v>
      </c>
      <c r="G200" t="s">
        <v>44</v>
      </c>
      <c r="H200" t="s">
        <v>938</v>
      </c>
    </row>
    <row r="201" spans="1:8" x14ac:dyDescent="0.35">
      <c r="A201" t="s">
        <v>939</v>
      </c>
      <c r="B201" t="str">
        <f>"9780807899588"</f>
        <v>9780807899588</v>
      </c>
      <c r="C201" t="s">
        <v>940</v>
      </c>
      <c r="D201" t="s">
        <v>941</v>
      </c>
      <c r="E201" t="s">
        <v>328</v>
      </c>
      <c r="G201" t="s">
        <v>17</v>
      </c>
      <c r="H201" t="s">
        <v>942</v>
      </c>
    </row>
    <row r="202" spans="1:8" x14ac:dyDescent="0.35">
      <c r="A202" t="s">
        <v>943</v>
      </c>
      <c r="B202" t="str">
        <f>"9780742568488"</f>
        <v>9780742568488</v>
      </c>
      <c r="C202" t="s">
        <v>944</v>
      </c>
      <c r="D202" t="s">
        <v>945</v>
      </c>
      <c r="E202" t="s">
        <v>524</v>
      </c>
      <c r="F202" t="s">
        <v>946</v>
      </c>
      <c r="G202" t="s">
        <v>17</v>
      </c>
      <c r="H202" t="s">
        <v>947</v>
      </c>
    </row>
    <row r="203" spans="1:8" x14ac:dyDescent="0.35">
      <c r="A203" t="s">
        <v>948</v>
      </c>
      <c r="B203" t="str">
        <f>"9781598845709"</f>
        <v>9781598845709</v>
      </c>
      <c r="C203" t="s">
        <v>949</v>
      </c>
      <c r="D203" t="s">
        <v>950</v>
      </c>
      <c r="E203" t="s">
        <v>700</v>
      </c>
      <c r="F203" t="s">
        <v>951</v>
      </c>
      <c r="G203" t="s">
        <v>44</v>
      </c>
      <c r="H203" t="s">
        <v>952</v>
      </c>
    </row>
    <row r="204" spans="1:8" x14ac:dyDescent="0.35">
      <c r="A204" t="s">
        <v>953</v>
      </c>
      <c r="B204" t="str">
        <f>"9780313349782"</f>
        <v>9780313349782</v>
      </c>
      <c r="C204" t="s">
        <v>954</v>
      </c>
      <c r="D204" t="s">
        <v>955</v>
      </c>
      <c r="E204" t="s">
        <v>700</v>
      </c>
      <c r="F204" t="s">
        <v>701</v>
      </c>
      <c r="G204" t="s">
        <v>139</v>
      </c>
      <c r="H204" t="s">
        <v>956</v>
      </c>
    </row>
    <row r="205" spans="1:8" x14ac:dyDescent="0.35">
      <c r="A205" t="s">
        <v>957</v>
      </c>
      <c r="B205" t="str">
        <f>"9781861897145"</f>
        <v>9781861897145</v>
      </c>
      <c r="C205" t="s">
        <v>958</v>
      </c>
      <c r="D205" t="s">
        <v>959</v>
      </c>
      <c r="E205" t="s">
        <v>960</v>
      </c>
      <c r="F205" t="s">
        <v>961</v>
      </c>
      <c r="G205" t="s">
        <v>60</v>
      </c>
      <c r="H205" t="s">
        <v>962</v>
      </c>
    </row>
    <row r="206" spans="1:8" x14ac:dyDescent="0.35">
      <c r="A206" t="s">
        <v>963</v>
      </c>
      <c r="B206" t="str">
        <f>"9780804776332"</f>
        <v>9780804776332</v>
      </c>
      <c r="C206" t="s">
        <v>964</v>
      </c>
      <c r="D206" t="s">
        <v>965</v>
      </c>
      <c r="E206" t="s">
        <v>680</v>
      </c>
      <c r="G206" t="s">
        <v>382</v>
      </c>
      <c r="H206" t="s">
        <v>966</v>
      </c>
    </row>
    <row r="207" spans="1:8" x14ac:dyDescent="0.35">
      <c r="A207" t="s">
        <v>967</v>
      </c>
      <c r="B207" t="str">
        <f>"9781849350464"</f>
        <v>9781849350464</v>
      </c>
      <c r="C207" t="s">
        <v>968</v>
      </c>
      <c r="D207" t="s">
        <v>969</v>
      </c>
      <c r="E207" t="s">
        <v>970</v>
      </c>
      <c r="G207" t="s">
        <v>39</v>
      </c>
      <c r="H207" t="s">
        <v>971</v>
      </c>
    </row>
    <row r="208" spans="1:8" x14ac:dyDescent="0.35">
      <c r="A208" t="s">
        <v>972</v>
      </c>
      <c r="B208" t="str">
        <f>"9781617030468"</f>
        <v>9781617030468</v>
      </c>
      <c r="C208" t="s">
        <v>973</v>
      </c>
      <c r="D208" t="s">
        <v>974</v>
      </c>
      <c r="E208" t="s">
        <v>735</v>
      </c>
      <c r="G208" t="s">
        <v>975</v>
      </c>
      <c r="H208" t="s">
        <v>976</v>
      </c>
    </row>
    <row r="209" spans="1:8" x14ac:dyDescent="0.35">
      <c r="A209" t="s">
        <v>977</v>
      </c>
      <c r="B209" t="str">
        <f>"9789027289056"</f>
        <v>9789027289056</v>
      </c>
      <c r="C209" t="s">
        <v>978</v>
      </c>
      <c r="D209" t="s">
        <v>979</v>
      </c>
      <c r="E209" t="s">
        <v>980</v>
      </c>
      <c r="G209" t="s">
        <v>60</v>
      </c>
      <c r="H209" t="s">
        <v>981</v>
      </c>
    </row>
    <row r="210" spans="1:8" x14ac:dyDescent="0.35">
      <c r="A210" t="s">
        <v>982</v>
      </c>
      <c r="B210" t="str">
        <f>"9789027292575"</f>
        <v>9789027292575</v>
      </c>
      <c r="C210" t="s">
        <v>983</v>
      </c>
      <c r="D210" t="s">
        <v>984</v>
      </c>
      <c r="E210" t="s">
        <v>980</v>
      </c>
      <c r="G210" t="s">
        <v>146</v>
      </c>
      <c r="H210" t="s">
        <v>985</v>
      </c>
    </row>
    <row r="211" spans="1:8" x14ac:dyDescent="0.35">
      <c r="A211" t="s">
        <v>986</v>
      </c>
      <c r="B211" t="str">
        <f>"9789027290588"</f>
        <v>9789027290588</v>
      </c>
      <c r="C211" t="s">
        <v>987</v>
      </c>
      <c r="D211" t="s">
        <v>988</v>
      </c>
      <c r="E211" t="s">
        <v>980</v>
      </c>
      <c r="G211" t="s">
        <v>146</v>
      </c>
      <c r="H211" t="s">
        <v>989</v>
      </c>
    </row>
    <row r="212" spans="1:8" x14ac:dyDescent="0.35">
      <c r="A212" t="s">
        <v>990</v>
      </c>
      <c r="B212" t="str">
        <f>"9789027291448"</f>
        <v>9789027291448</v>
      </c>
      <c r="C212" t="s">
        <v>991</v>
      </c>
      <c r="D212" t="s">
        <v>992</v>
      </c>
      <c r="E212" t="s">
        <v>980</v>
      </c>
      <c r="G212" t="s">
        <v>214</v>
      </c>
      <c r="H212" t="s">
        <v>993</v>
      </c>
    </row>
    <row r="213" spans="1:8" x14ac:dyDescent="0.35">
      <c r="A213" t="s">
        <v>994</v>
      </c>
      <c r="B213" t="str">
        <f>"9781849350426"</f>
        <v>9781849350426</v>
      </c>
      <c r="C213" t="s">
        <v>995</v>
      </c>
      <c r="D213" t="s">
        <v>996</v>
      </c>
      <c r="E213" t="s">
        <v>970</v>
      </c>
      <c r="G213" t="s">
        <v>39</v>
      </c>
      <c r="H213" t="s">
        <v>997</v>
      </c>
    </row>
    <row r="214" spans="1:8" x14ac:dyDescent="0.35">
      <c r="A214" t="s">
        <v>998</v>
      </c>
      <c r="B214" t="str">
        <f>"9781849350419"</f>
        <v>9781849350419</v>
      </c>
      <c r="C214" t="s">
        <v>999</v>
      </c>
      <c r="D214" t="s">
        <v>1000</v>
      </c>
      <c r="E214" t="s">
        <v>970</v>
      </c>
      <c r="G214" t="s">
        <v>44</v>
      </c>
      <c r="H214" t="s">
        <v>1001</v>
      </c>
    </row>
    <row r="215" spans="1:8" x14ac:dyDescent="0.35">
      <c r="A215" t="s">
        <v>1002</v>
      </c>
      <c r="B215" t="str">
        <f>"9780739147818"</f>
        <v>9780739147818</v>
      </c>
      <c r="C215" t="s">
        <v>1003</v>
      </c>
      <c r="D215" t="s">
        <v>1004</v>
      </c>
      <c r="E215" t="s">
        <v>518</v>
      </c>
      <c r="G215" t="s">
        <v>112</v>
      </c>
      <c r="H215" t="s">
        <v>1005</v>
      </c>
    </row>
    <row r="216" spans="1:8" x14ac:dyDescent="0.35">
      <c r="A216" t="s">
        <v>1006</v>
      </c>
      <c r="B216" t="str">
        <f>"9780759119765"</f>
        <v>9780759119765</v>
      </c>
      <c r="C216" t="s">
        <v>1007</v>
      </c>
      <c r="D216" t="s">
        <v>1008</v>
      </c>
      <c r="E216" t="s">
        <v>1009</v>
      </c>
      <c r="G216" t="s">
        <v>44</v>
      </c>
      <c r="H216" t="s">
        <v>1010</v>
      </c>
    </row>
    <row r="217" spans="1:8" x14ac:dyDescent="0.35">
      <c r="A217" t="s">
        <v>1011</v>
      </c>
      <c r="B217" t="str">
        <f>"9780803234437"</f>
        <v>9780803234437</v>
      </c>
      <c r="C217" t="s">
        <v>1012</v>
      </c>
      <c r="D217" t="s">
        <v>1013</v>
      </c>
      <c r="E217" t="s">
        <v>263</v>
      </c>
      <c r="F217" t="s">
        <v>576</v>
      </c>
      <c r="G217" t="s">
        <v>44</v>
      </c>
      <c r="H217" t="s">
        <v>1014</v>
      </c>
    </row>
    <row r="218" spans="1:8" x14ac:dyDescent="0.35">
      <c r="A218" t="s">
        <v>1015</v>
      </c>
      <c r="B218" t="str">
        <f>"9780816674893"</f>
        <v>9780816674893</v>
      </c>
      <c r="C218" t="s">
        <v>1016</v>
      </c>
      <c r="D218" t="s">
        <v>1017</v>
      </c>
      <c r="E218" t="s">
        <v>273</v>
      </c>
      <c r="G218" t="s">
        <v>44</v>
      </c>
      <c r="H218" t="s">
        <v>1018</v>
      </c>
    </row>
    <row r="219" spans="1:8" x14ac:dyDescent="0.35">
      <c r="A219" t="s">
        <v>1019</v>
      </c>
      <c r="B219" t="str">
        <f>"9780857244185"</f>
        <v>9780857244185</v>
      </c>
      <c r="C219" t="s">
        <v>1020</v>
      </c>
      <c r="D219" t="s">
        <v>1021</v>
      </c>
      <c r="E219" t="s">
        <v>450</v>
      </c>
      <c r="F219" t="s">
        <v>1022</v>
      </c>
      <c r="G219" t="s">
        <v>112</v>
      </c>
      <c r="H219" t="s">
        <v>1023</v>
      </c>
    </row>
    <row r="220" spans="1:8" x14ac:dyDescent="0.35">
      <c r="A220" t="s">
        <v>1024</v>
      </c>
      <c r="B220" t="str">
        <f>"9780203835982"</f>
        <v>9780203835982</v>
      </c>
      <c r="C220" t="s">
        <v>1025</v>
      </c>
      <c r="D220" t="s">
        <v>1026</v>
      </c>
      <c r="E220" t="s">
        <v>11</v>
      </c>
      <c r="G220" t="s">
        <v>112</v>
      </c>
      <c r="H220" t="s">
        <v>1027</v>
      </c>
    </row>
    <row r="221" spans="1:8" x14ac:dyDescent="0.35">
      <c r="A221" t="s">
        <v>1028</v>
      </c>
      <c r="B221" t="str">
        <f>"9780203823323"</f>
        <v>9780203823323</v>
      </c>
      <c r="C221" t="s">
        <v>1029</v>
      </c>
      <c r="D221" t="s">
        <v>1030</v>
      </c>
      <c r="E221" t="s">
        <v>11</v>
      </c>
      <c r="G221" t="s">
        <v>50</v>
      </c>
      <c r="H221" t="s">
        <v>1031</v>
      </c>
    </row>
    <row r="222" spans="1:8" x14ac:dyDescent="0.35">
      <c r="A222" t="s">
        <v>1032</v>
      </c>
      <c r="B222" t="str">
        <f>"9780739149065"</f>
        <v>9780739149065</v>
      </c>
      <c r="C222" t="s">
        <v>1033</v>
      </c>
      <c r="D222" t="s">
        <v>1034</v>
      </c>
      <c r="E222" t="s">
        <v>518</v>
      </c>
      <c r="G222" t="s">
        <v>60</v>
      </c>
      <c r="H222" t="s">
        <v>1035</v>
      </c>
    </row>
    <row r="223" spans="1:8" x14ac:dyDescent="0.35">
      <c r="A223" t="s">
        <v>1036</v>
      </c>
      <c r="B223" t="str">
        <f>"9780807899670"</f>
        <v>9780807899670</v>
      </c>
      <c r="C223" t="s">
        <v>1037</v>
      </c>
      <c r="D223" t="s">
        <v>1038</v>
      </c>
      <c r="E223" t="s">
        <v>328</v>
      </c>
      <c r="G223" t="s">
        <v>180</v>
      </c>
      <c r="H223" t="s">
        <v>1039</v>
      </c>
    </row>
    <row r="224" spans="1:8" x14ac:dyDescent="0.35">
      <c r="A224" t="s">
        <v>1040</v>
      </c>
      <c r="B224" t="str">
        <f>"9780807878064"</f>
        <v>9780807878064</v>
      </c>
      <c r="C224" t="s">
        <v>1041</v>
      </c>
      <c r="D224" t="s">
        <v>1042</v>
      </c>
      <c r="E224" t="s">
        <v>328</v>
      </c>
      <c r="F224" t="s">
        <v>749</v>
      </c>
      <c r="G224" t="s">
        <v>44</v>
      </c>
      <c r="H224" t="s">
        <v>1043</v>
      </c>
    </row>
    <row r="225" spans="1:8" x14ac:dyDescent="0.35">
      <c r="A225" t="s">
        <v>1044</v>
      </c>
      <c r="B225" t="str">
        <f>"9780520949003"</f>
        <v>9780520949003</v>
      </c>
      <c r="C225" t="s">
        <v>1045</v>
      </c>
      <c r="D225" t="s">
        <v>1046</v>
      </c>
      <c r="E225" t="s">
        <v>69</v>
      </c>
      <c r="G225" t="s">
        <v>1047</v>
      </c>
      <c r="H225" t="s">
        <v>1048</v>
      </c>
    </row>
    <row r="226" spans="1:8" x14ac:dyDescent="0.35">
      <c r="A226" t="s">
        <v>1049</v>
      </c>
      <c r="B226" t="str">
        <f>"9780520947511"</f>
        <v>9780520947511</v>
      </c>
      <c r="C226" t="s">
        <v>1050</v>
      </c>
      <c r="D226" t="s">
        <v>1051</v>
      </c>
      <c r="E226" t="s">
        <v>69</v>
      </c>
      <c r="F226" t="s">
        <v>1052</v>
      </c>
      <c r="G226" t="s">
        <v>44</v>
      </c>
      <c r="H226" t="s">
        <v>1053</v>
      </c>
    </row>
    <row r="227" spans="1:8" x14ac:dyDescent="0.35">
      <c r="A227" t="s">
        <v>1054</v>
      </c>
      <c r="B227" t="str">
        <f>"9781439900055"</f>
        <v>9781439900055</v>
      </c>
      <c r="C227" t="s">
        <v>1055</v>
      </c>
      <c r="D227" t="s">
        <v>1056</v>
      </c>
      <c r="E227" t="s">
        <v>162</v>
      </c>
      <c r="F227" t="s">
        <v>1057</v>
      </c>
      <c r="G227" t="s">
        <v>39</v>
      </c>
      <c r="H227" t="s">
        <v>1058</v>
      </c>
    </row>
    <row r="228" spans="1:8" x14ac:dyDescent="0.35">
      <c r="A228" t="s">
        <v>1059</v>
      </c>
      <c r="B228" t="str">
        <f>"9780821384695"</f>
        <v>9780821384695</v>
      </c>
      <c r="C228" t="s">
        <v>1060</v>
      </c>
      <c r="D228" t="s">
        <v>1061</v>
      </c>
      <c r="E228" t="s">
        <v>481</v>
      </c>
      <c r="F228" t="s">
        <v>624</v>
      </c>
      <c r="G228" t="s">
        <v>39</v>
      </c>
      <c r="H228" t="s">
        <v>1062</v>
      </c>
    </row>
    <row r="229" spans="1:8" x14ac:dyDescent="0.35">
      <c r="A229" t="s">
        <v>1063</v>
      </c>
      <c r="B229" t="str">
        <f>"9780821385753"</f>
        <v>9780821385753</v>
      </c>
      <c r="C229" t="s">
        <v>1064</v>
      </c>
      <c r="D229" t="s">
        <v>1065</v>
      </c>
      <c r="E229" t="s">
        <v>481</v>
      </c>
      <c r="F229" t="s">
        <v>1066</v>
      </c>
      <c r="G229" t="s">
        <v>376</v>
      </c>
      <c r="H229" t="s">
        <v>1067</v>
      </c>
    </row>
    <row r="230" spans="1:8" x14ac:dyDescent="0.35">
      <c r="A230" t="s">
        <v>1068</v>
      </c>
      <c r="B230" t="str">
        <f>"9780816674909"</f>
        <v>9780816674909</v>
      </c>
      <c r="C230" t="s">
        <v>1069</v>
      </c>
      <c r="D230" t="s">
        <v>1070</v>
      </c>
      <c r="E230" t="s">
        <v>273</v>
      </c>
      <c r="G230" t="s">
        <v>305</v>
      </c>
      <c r="H230" t="s">
        <v>1071</v>
      </c>
    </row>
    <row r="231" spans="1:8" x14ac:dyDescent="0.35">
      <c r="A231" t="s">
        <v>1072</v>
      </c>
      <c r="B231" t="str">
        <f>"9781442207554"</f>
        <v>9781442207554</v>
      </c>
      <c r="C231" t="s">
        <v>1073</v>
      </c>
      <c r="D231" t="s">
        <v>1074</v>
      </c>
      <c r="E231" t="s">
        <v>524</v>
      </c>
      <c r="F231" t="s">
        <v>946</v>
      </c>
      <c r="G231" t="s">
        <v>55</v>
      </c>
      <c r="H231" t="s">
        <v>1075</v>
      </c>
    </row>
    <row r="232" spans="1:8" x14ac:dyDescent="0.35">
      <c r="A232" t="s">
        <v>1076</v>
      </c>
      <c r="B232" t="str">
        <f>"9780739146507"</f>
        <v>9780739146507</v>
      </c>
      <c r="C232" t="s">
        <v>1077</v>
      </c>
      <c r="D232" t="s">
        <v>1078</v>
      </c>
      <c r="E232" t="s">
        <v>518</v>
      </c>
      <c r="F232" t="s">
        <v>1079</v>
      </c>
      <c r="G232" t="s">
        <v>39</v>
      </c>
      <c r="H232" t="s">
        <v>1080</v>
      </c>
    </row>
    <row r="233" spans="1:8" x14ac:dyDescent="0.35">
      <c r="A233" t="s">
        <v>1081</v>
      </c>
      <c r="B233" t="str">
        <f>"9781442207899"</f>
        <v>9781442207899</v>
      </c>
      <c r="C233" t="s">
        <v>1082</v>
      </c>
      <c r="D233" t="s">
        <v>1083</v>
      </c>
      <c r="E233" t="s">
        <v>524</v>
      </c>
      <c r="G233" t="s">
        <v>22</v>
      </c>
      <c r="H233" t="s">
        <v>1084</v>
      </c>
    </row>
    <row r="234" spans="1:8" x14ac:dyDescent="0.35">
      <c r="A234" t="s">
        <v>1085</v>
      </c>
      <c r="B234" t="str">
        <f>"9780810874985"</f>
        <v>9780810874985</v>
      </c>
      <c r="C234" t="s">
        <v>1086</v>
      </c>
      <c r="D234" t="s">
        <v>1087</v>
      </c>
      <c r="E234" t="s">
        <v>530</v>
      </c>
      <c r="F234" t="s">
        <v>1088</v>
      </c>
      <c r="G234" t="s">
        <v>60</v>
      </c>
      <c r="H234" t="s">
        <v>1089</v>
      </c>
    </row>
    <row r="235" spans="1:8" x14ac:dyDescent="0.35">
      <c r="A235" t="s">
        <v>1090</v>
      </c>
      <c r="B235" t="str">
        <f>"9780199753260"</f>
        <v>9780199753260</v>
      </c>
      <c r="C235" t="s">
        <v>1091</v>
      </c>
      <c r="D235" t="s">
        <v>1092</v>
      </c>
      <c r="E235" t="s">
        <v>355</v>
      </c>
      <c r="G235" t="s">
        <v>44</v>
      </c>
      <c r="H235" t="s">
        <v>1093</v>
      </c>
    </row>
    <row r="236" spans="1:8" x14ac:dyDescent="0.35">
      <c r="A236" t="s">
        <v>1094</v>
      </c>
      <c r="B236" t="str">
        <f>"9781139008105"</f>
        <v>9781139008105</v>
      </c>
      <c r="C236" t="s">
        <v>1095</v>
      </c>
      <c r="D236" t="s">
        <v>1096</v>
      </c>
      <c r="E236" t="s">
        <v>304</v>
      </c>
      <c r="F236" t="s">
        <v>1097</v>
      </c>
      <c r="G236" t="s">
        <v>44</v>
      </c>
      <c r="H236" t="s">
        <v>1098</v>
      </c>
    </row>
    <row r="237" spans="1:8" x14ac:dyDescent="0.35">
      <c r="A237" t="s">
        <v>1099</v>
      </c>
      <c r="B237" t="str">
        <f>"9780203946121"</f>
        <v>9780203946121</v>
      </c>
      <c r="C237" t="s">
        <v>1100</v>
      </c>
      <c r="D237" t="s">
        <v>1101</v>
      </c>
      <c r="E237" t="s">
        <v>11</v>
      </c>
      <c r="F237" t="s">
        <v>1102</v>
      </c>
      <c r="G237" t="s">
        <v>22</v>
      </c>
      <c r="H237" t="s">
        <v>1103</v>
      </c>
    </row>
    <row r="238" spans="1:8" x14ac:dyDescent="0.35">
      <c r="A238" t="s">
        <v>1104</v>
      </c>
      <c r="B238" t="str">
        <f>"9781572336841"</f>
        <v>9781572336841</v>
      </c>
      <c r="C238" t="s">
        <v>1105</v>
      </c>
      <c r="D238" t="s">
        <v>1106</v>
      </c>
      <c r="E238" t="s">
        <v>1107</v>
      </c>
      <c r="G238" t="s">
        <v>83</v>
      </c>
      <c r="H238" t="s">
        <v>1108</v>
      </c>
    </row>
    <row r="239" spans="1:8" x14ac:dyDescent="0.35">
      <c r="A239" t="s">
        <v>1109</v>
      </c>
      <c r="B239" t="str">
        <f>"9780807877913"</f>
        <v>9780807877913</v>
      </c>
      <c r="C239" t="s">
        <v>1110</v>
      </c>
      <c r="D239" t="s">
        <v>1111</v>
      </c>
      <c r="E239" t="s">
        <v>328</v>
      </c>
      <c r="G239" t="s">
        <v>112</v>
      </c>
      <c r="H239" t="s">
        <v>1112</v>
      </c>
    </row>
    <row r="240" spans="1:8" x14ac:dyDescent="0.35">
      <c r="A240" t="s">
        <v>1113</v>
      </c>
      <c r="B240" t="str">
        <f>"9781139044929"</f>
        <v>9781139044929</v>
      </c>
      <c r="C240" t="s">
        <v>1114</v>
      </c>
      <c r="D240" t="s">
        <v>1115</v>
      </c>
      <c r="E240" t="s">
        <v>304</v>
      </c>
      <c r="G240" t="s">
        <v>1116</v>
      </c>
      <c r="H240" t="s">
        <v>1117</v>
      </c>
    </row>
    <row r="241" spans="1:8" x14ac:dyDescent="0.35">
      <c r="A241" t="s">
        <v>1118</v>
      </c>
      <c r="B241" t="str">
        <f>"9780313364938"</f>
        <v>9780313364938</v>
      </c>
      <c r="C241" t="s">
        <v>1119</v>
      </c>
      <c r="D241" t="s">
        <v>1120</v>
      </c>
      <c r="E241" t="s">
        <v>700</v>
      </c>
      <c r="F241" t="s">
        <v>790</v>
      </c>
      <c r="G241" t="s">
        <v>139</v>
      </c>
      <c r="H241" t="s">
        <v>1121</v>
      </c>
    </row>
    <row r="242" spans="1:8" x14ac:dyDescent="0.35">
      <c r="A242" t="s">
        <v>1122</v>
      </c>
      <c r="B242" t="str">
        <f>"9780826106605"</f>
        <v>9780826106605</v>
      </c>
      <c r="C242" t="s">
        <v>1123</v>
      </c>
      <c r="D242" t="s">
        <v>1124</v>
      </c>
      <c r="E242" t="s">
        <v>202</v>
      </c>
      <c r="G242" t="s">
        <v>1125</v>
      </c>
      <c r="H242" t="s">
        <v>1126</v>
      </c>
    </row>
    <row r="243" spans="1:8" x14ac:dyDescent="0.35">
      <c r="A243" t="s">
        <v>1127</v>
      </c>
      <c r="B243" t="str">
        <f>"9781608461073"</f>
        <v>9781608461073</v>
      </c>
      <c r="C243" t="s">
        <v>1128</v>
      </c>
      <c r="D243" t="s">
        <v>1129</v>
      </c>
      <c r="E243" t="s">
        <v>1130</v>
      </c>
      <c r="G243" t="s">
        <v>39</v>
      </c>
      <c r="H243" t="s">
        <v>1131</v>
      </c>
    </row>
    <row r="244" spans="1:8" x14ac:dyDescent="0.35">
      <c r="A244" t="s">
        <v>1132</v>
      </c>
      <c r="B244" t="str">
        <f>"9781604737974"</f>
        <v>9781604737974</v>
      </c>
      <c r="C244" t="s">
        <v>1133</v>
      </c>
      <c r="D244" t="s">
        <v>1134</v>
      </c>
      <c r="E244" t="s">
        <v>735</v>
      </c>
      <c r="G244" t="s">
        <v>1135</v>
      </c>
      <c r="H244" t="s">
        <v>1136</v>
      </c>
    </row>
    <row r="245" spans="1:8" x14ac:dyDescent="0.35">
      <c r="A245" t="s">
        <v>1137</v>
      </c>
      <c r="B245" t="str">
        <f>"9780807877876"</f>
        <v>9780807877876</v>
      </c>
      <c r="C245" t="s">
        <v>1138</v>
      </c>
      <c r="D245" t="s">
        <v>1139</v>
      </c>
      <c r="E245" t="s">
        <v>328</v>
      </c>
      <c r="G245" t="s">
        <v>55</v>
      </c>
      <c r="H245" t="s">
        <v>1140</v>
      </c>
    </row>
    <row r="246" spans="1:8" x14ac:dyDescent="0.35">
      <c r="A246" t="s">
        <v>1141</v>
      </c>
      <c r="B246" t="str">
        <f>"9780807877661"</f>
        <v>9780807877661</v>
      </c>
      <c r="C246" t="s">
        <v>1142</v>
      </c>
      <c r="D246" t="s">
        <v>1143</v>
      </c>
      <c r="E246" t="s">
        <v>328</v>
      </c>
      <c r="G246" t="s">
        <v>55</v>
      </c>
      <c r="H246" t="s">
        <v>1144</v>
      </c>
    </row>
    <row r="247" spans="1:8" x14ac:dyDescent="0.35">
      <c r="A247" t="s">
        <v>1145</v>
      </c>
      <c r="B247" t="str">
        <f>"9789004190566"</f>
        <v>9789004190566</v>
      </c>
      <c r="C247" t="s">
        <v>1146</v>
      </c>
      <c r="D247" t="s">
        <v>1147</v>
      </c>
      <c r="E247" t="s">
        <v>540</v>
      </c>
      <c r="F247" t="s">
        <v>557</v>
      </c>
      <c r="G247" t="s">
        <v>17</v>
      </c>
      <c r="H247" t="s">
        <v>1148</v>
      </c>
    </row>
    <row r="248" spans="1:8" x14ac:dyDescent="0.35">
      <c r="A248" t="s">
        <v>1149</v>
      </c>
      <c r="B248" t="str">
        <f>"9780804775601"</f>
        <v>9780804775601</v>
      </c>
      <c r="C248" t="s">
        <v>1150</v>
      </c>
      <c r="D248" t="s">
        <v>1151</v>
      </c>
      <c r="E248" t="s">
        <v>680</v>
      </c>
      <c r="G248" t="s">
        <v>1135</v>
      </c>
      <c r="H248" t="s">
        <v>1152</v>
      </c>
    </row>
    <row r="249" spans="1:8" x14ac:dyDescent="0.35">
      <c r="A249" t="s">
        <v>1153</v>
      </c>
      <c r="B249" t="str">
        <f>"9780804775809"</f>
        <v>9780804775809</v>
      </c>
      <c r="C249" t="s">
        <v>1154</v>
      </c>
      <c r="D249" t="s">
        <v>1155</v>
      </c>
      <c r="E249" t="s">
        <v>680</v>
      </c>
      <c r="G249" t="s">
        <v>17</v>
      </c>
      <c r="H249" t="s">
        <v>1156</v>
      </c>
    </row>
    <row r="250" spans="1:8" x14ac:dyDescent="0.35">
      <c r="A250" t="s">
        <v>1157</v>
      </c>
      <c r="B250" t="str">
        <f>"9780804777179"</f>
        <v>9780804777179</v>
      </c>
      <c r="C250" t="s">
        <v>1158</v>
      </c>
      <c r="D250" t="s">
        <v>1159</v>
      </c>
      <c r="E250" t="s">
        <v>680</v>
      </c>
      <c r="G250" t="s">
        <v>376</v>
      </c>
      <c r="H250" t="s">
        <v>1160</v>
      </c>
    </row>
    <row r="251" spans="1:8" x14ac:dyDescent="0.35">
      <c r="A251" t="s">
        <v>1161</v>
      </c>
      <c r="B251" t="str">
        <f>"9780203851272"</f>
        <v>9780203851272</v>
      </c>
      <c r="C251" t="s">
        <v>1162</v>
      </c>
      <c r="D251" t="s">
        <v>1163</v>
      </c>
      <c r="E251" t="s">
        <v>11</v>
      </c>
      <c r="G251" t="s">
        <v>44</v>
      </c>
      <c r="H251" t="s">
        <v>1164</v>
      </c>
    </row>
    <row r="252" spans="1:8" x14ac:dyDescent="0.35">
      <c r="A252" t="s">
        <v>1165</v>
      </c>
      <c r="B252" t="str">
        <f>"9780875868240"</f>
        <v>9780875868240</v>
      </c>
      <c r="C252" t="s">
        <v>1166</v>
      </c>
      <c r="D252" t="s">
        <v>1167</v>
      </c>
      <c r="E252" t="s">
        <v>1168</v>
      </c>
      <c r="G252" t="s">
        <v>44</v>
      </c>
      <c r="H252" t="s">
        <v>1169</v>
      </c>
    </row>
    <row r="253" spans="1:8" x14ac:dyDescent="0.35">
      <c r="A253" t="s">
        <v>1170</v>
      </c>
      <c r="B253" t="str">
        <f>"9780520948761"</f>
        <v>9780520948761</v>
      </c>
      <c r="C253" t="s">
        <v>1171</v>
      </c>
      <c r="D253" t="s">
        <v>1172</v>
      </c>
      <c r="E253" t="s">
        <v>69</v>
      </c>
      <c r="G253" t="s">
        <v>96</v>
      </c>
      <c r="H253" t="s">
        <v>1173</v>
      </c>
    </row>
    <row r="254" spans="1:8" x14ac:dyDescent="0.35">
      <c r="A254" t="s">
        <v>1174</v>
      </c>
      <c r="B254" t="str">
        <f>"9781592139101"</f>
        <v>9781592139101</v>
      </c>
      <c r="C254" t="s">
        <v>1175</v>
      </c>
      <c r="D254" t="s">
        <v>1176</v>
      </c>
      <c r="E254" t="s">
        <v>162</v>
      </c>
      <c r="F254" t="s">
        <v>1057</v>
      </c>
      <c r="G254" t="s">
        <v>44</v>
      </c>
      <c r="H254" t="s">
        <v>1177</v>
      </c>
    </row>
    <row r="255" spans="1:8" x14ac:dyDescent="0.35">
      <c r="A255" t="s">
        <v>1178</v>
      </c>
      <c r="B255" t="str">
        <f>"9781781386132"</f>
        <v>9781781386132</v>
      </c>
      <c r="C255" t="s">
        <v>1179</v>
      </c>
      <c r="D255" t="s">
        <v>1180</v>
      </c>
      <c r="E255" t="s">
        <v>339</v>
      </c>
      <c r="F255" t="s">
        <v>1181</v>
      </c>
      <c r="G255" t="s">
        <v>44</v>
      </c>
      <c r="H255" t="s">
        <v>1182</v>
      </c>
    </row>
    <row r="256" spans="1:8" x14ac:dyDescent="0.35">
      <c r="A256" t="s">
        <v>1183</v>
      </c>
      <c r="B256" t="str">
        <f>"9781781388228"</f>
        <v>9781781388228</v>
      </c>
      <c r="C256" t="s">
        <v>1184</v>
      </c>
      <c r="D256" t="s">
        <v>1185</v>
      </c>
      <c r="E256" t="s">
        <v>339</v>
      </c>
      <c r="F256" t="s">
        <v>1186</v>
      </c>
      <c r="G256" t="s">
        <v>22</v>
      </c>
      <c r="H256" t="s">
        <v>1187</v>
      </c>
    </row>
    <row r="257" spans="1:8" x14ac:dyDescent="0.35">
      <c r="A257" t="s">
        <v>1188</v>
      </c>
      <c r="B257" t="str">
        <f>"9780803235397"</f>
        <v>9780803235397</v>
      </c>
      <c r="C257" t="s">
        <v>1189</v>
      </c>
      <c r="D257" t="s">
        <v>1190</v>
      </c>
      <c r="E257" t="s">
        <v>1191</v>
      </c>
      <c r="G257" t="s">
        <v>39</v>
      </c>
      <c r="H257" t="s">
        <v>1192</v>
      </c>
    </row>
    <row r="258" spans="1:8" x14ac:dyDescent="0.35">
      <c r="A258" t="s">
        <v>1193</v>
      </c>
      <c r="B258" t="str">
        <f>"9781848135253"</f>
        <v>9781848135253</v>
      </c>
      <c r="C258" t="s">
        <v>1194</v>
      </c>
      <c r="D258" t="s">
        <v>1195</v>
      </c>
      <c r="E258" t="s">
        <v>694</v>
      </c>
      <c r="G258" t="s">
        <v>44</v>
      </c>
      <c r="H258" t="s">
        <v>1196</v>
      </c>
    </row>
    <row r="259" spans="1:8" x14ac:dyDescent="0.35">
      <c r="A259" t="s">
        <v>1197</v>
      </c>
      <c r="B259" t="str">
        <f>"9780804777797"</f>
        <v>9780804777797</v>
      </c>
      <c r="C259" t="s">
        <v>1198</v>
      </c>
      <c r="D259" t="s">
        <v>1199</v>
      </c>
      <c r="E259" t="s">
        <v>680</v>
      </c>
      <c r="G259" t="s">
        <v>305</v>
      </c>
      <c r="H259" t="s">
        <v>1200</v>
      </c>
    </row>
    <row r="260" spans="1:8" x14ac:dyDescent="0.35">
      <c r="A260" t="s">
        <v>1201</v>
      </c>
      <c r="B260" t="str">
        <f>"9780821386637"</f>
        <v>9780821386637</v>
      </c>
      <c r="C260" t="s">
        <v>1202</v>
      </c>
      <c r="D260" t="s">
        <v>1203</v>
      </c>
      <c r="E260" t="s">
        <v>481</v>
      </c>
      <c r="F260" t="s">
        <v>1204</v>
      </c>
      <c r="G260" t="s">
        <v>1205</v>
      </c>
      <c r="H260" t="s">
        <v>1206</v>
      </c>
    </row>
    <row r="261" spans="1:8" x14ac:dyDescent="0.35">
      <c r="A261" t="s">
        <v>1207</v>
      </c>
      <c r="B261" t="str">
        <f>"9780807877845"</f>
        <v>9780807877845</v>
      </c>
      <c r="C261" t="s">
        <v>1208</v>
      </c>
      <c r="D261" t="s">
        <v>1209</v>
      </c>
      <c r="E261" t="s">
        <v>328</v>
      </c>
      <c r="F261" t="s">
        <v>329</v>
      </c>
      <c r="G261" t="s">
        <v>44</v>
      </c>
      <c r="H261" t="s">
        <v>1210</v>
      </c>
    </row>
    <row r="262" spans="1:8" x14ac:dyDescent="0.35">
      <c r="A262" t="s">
        <v>1211</v>
      </c>
      <c r="B262" t="str">
        <f>"9780807877715"</f>
        <v>9780807877715</v>
      </c>
      <c r="C262" t="s">
        <v>1212</v>
      </c>
      <c r="D262" t="s">
        <v>1213</v>
      </c>
      <c r="E262" t="s">
        <v>328</v>
      </c>
      <c r="G262" t="s">
        <v>83</v>
      </c>
      <c r="H262" t="s">
        <v>1214</v>
      </c>
    </row>
    <row r="263" spans="1:8" x14ac:dyDescent="0.35">
      <c r="A263" t="s">
        <v>1215</v>
      </c>
      <c r="B263" t="str">
        <f>"9780203816127"</f>
        <v>9780203816127</v>
      </c>
      <c r="C263" t="s">
        <v>1216</v>
      </c>
      <c r="D263" t="s">
        <v>1217</v>
      </c>
      <c r="E263" t="s">
        <v>11</v>
      </c>
      <c r="F263" t="s">
        <v>1218</v>
      </c>
      <c r="G263" t="s">
        <v>17</v>
      </c>
      <c r="H263" t="s">
        <v>1219</v>
      </c>
    </row>
    <row r="264" spans="1:8" x14ac:dyDescent="0.35">
      <c r="A264" t="s">
        <v>1220</v>
      </c>
      <c r="B264" t="str">
        <f>"9780203828373"</f>
        <v>9780203828373</v>
      </c>
      <c r="C264" t="s">
        <v>1221</v>
      </c>
      <c r="D264" t="s">
        <v>1222</v>
      </c>
      <c r="E264" t="s">
        <v>11</v>
      </c>
      <c r="F264" t="s">
        <v>1223</v>
      </c>
      <c r="G264" t="s">
        <v>726</v>
      </c>
      <c r="H264" t="s">
        <v>1224</v>
      </c>
    </row>
    <row r="265" spans="1:8" x14ac:dyDescent="0.35">
      <c r="A265" t="s">
        <v>1225</v>
      </c>
      <c r="B265" t="str">
        <f>"9780804777520"</f>
        <v>9780804777520</v>
      </c>
      <c r="C265" t="s">
        <v>1226</v>
      </c>
      <c r="D265" t="s">
        <v>1227</v>
      </c>
      <c r="E265" t="s">
        <v>680</v>
      </c>
      <c r="G265" t="s">
        <v>55</v>
      </c>
      <c r="H265" t="s">
        <v>1228</v>
      </c>
    </row>
    <row r="266" spans="1:8" x14ac:dyDescent="0.35">
      <c r="A266" t="s">
        <v>1229</v>
      </c>
      <c r="B266" t="str">
        <f>"9780203816714"</f>
        <v>9780203816714</v>
      </c>
      <c r="C266" t="s">
        <v>1230</v>
      </c>
      <c r="D266" t="s">
        <v>1231</v>
      </c>
      <c r="E266" t="s">
        <v>11</v>
      </c>
      <c r="F266" t="s">
        <v>1232</v>
      </c>
      <c r="G266" t="s">
        <v>17</v>
      </c>
      <c r="H266" t="s">
        <v>1233</v>
      </c>
    </row>
    <row r="267" spans="1:8" x14ac:dyDescent="0.35">
      <c r="A267" t="s">
        <v>1234</v>
      </c>
      <c r="B267" t="str">
        <f>"9781604739954"</f>
        <v>9781604739954</v>
      </c>
      <c r="C267" t="s">
        <v>1235</v>
      </c>
      <c r="D267" t="s">
        <v>1236</v>
      </c>
      <c r="E267" t="s">
        <v>735</v>
      </c>
      <c r="G267" t="s">
        <v>44</v>
      </c>
      <c r="H267" t="s">
        <v>1237</v>
      </c>
    </row>
    <row r="268" spans="1:8" x14ac:dyDescent="0.35">
      <c r="A268" t="s">
        <v>1238</v>
      </c>
      <c r="B268" t="str">
        <f>"9781439902424"</f>
        <v>9781439902424</v>
      </c>
      <c r="C268" t="s">
        <v>1239</v>
      </c>
      <c r="D268" t="s">
        <v>1240</v>
      </c>
      <c r="E268" t="s">
        <v>162</v>
      </c>
      <c r="G268" t="s">
        <v>60</v>
      </c>
      <c r="H268" t="s">
        <v>1241</v>
      </c>
    </row>
    <row r="269" spans="1:8" x14ac:dyDescent="0.35">
      <c r="A269" t="s">
        <v>1242</v>
      </c>
      <c r="B269" t="str">
        <f>"9780821387764"</f>
        <v>9780821387764</v>
      </c>
      <c r="C269" t="s">
        <v>1243</v>
      </c>
      <c r="D269" t="s">
        <v>1244</v>
      </c>
      <c r="E269" t="s">
        <v>481</v>
      </c>
      <c r="G269" t="s">
        <v>17</v>
      </c>
      <c r="H269" t="s">
        <v>1245</v>
      </c>
    </row>
    <row r="270" spans="1:8" x14ac:dyDescent="0.35">
      <c r="A270" t="s">
        <v>1246</v>
      </c>
      <c r="B270" t="str">
        <f>"9789004201200"</f>
        <v>9789004201200</v>
      </c>
      <c r="C270" t="s">
        <v>1247</v>
      </c>
      <c r="D270" t="s">
        <v>1248</v>
      </c>
      <c r="E270" t="s">
        <v>540</v>
      </c>
      <c r="F270" t="s">
        <v>1249</v>
      </c>
      <c r="G270" t="s">
        <v>186</v>
      </c>
      <c r="H270" t="s">
        <v>1250</v>
      </c>
    </row>
    <row r="271" spans="1:8" x14ac:dyDescent="0.35">
      <c r="A271" t="s">
        <v>1251</v>
      </c>
      <c r="B271" t="str">
        <f>"9781442211308"</f>
        <v>9781442211308</v>
      </c>
      <c r="C271" t="s">
        <v>1252</v>
      </c>
      <c r="D271" t="s">
        <v>1253</v>
      </c>
      <c r="E271" t="s">
        <v>524</v>
      </c>
      <c r="G271" t="s">
        <v>1254</v>
      </c>
      <c r="H271" t="s">
        <v>1255</v>
      </c>
    </row>
    <row r="272" spans="1:8" x14ac:dyDescent="0.35">
      <c r="A272" t="s">
        <v>1256</v>
      </c>
      <c r="B272" t="str">
        <f>"9780226322735"</f>
        <v>9780226322735</v>
      </c>
      <c r="C272" t="s">
        <v>1257</v>
      </c>
      <c r="D272" t="s">
        <v>1258</v>
      </c>
      <c r="E272" t="s">
        <v>381</v>
      </c>
      <c r="G272" t="s">
        <v>1259</v>
      </c>
      <c r="H272" t="s">
        <v>1260</v>
      </c>
    </row>
    <row r="273" spans="1:8" x14ac:dyDescent="0.35">
      <c r="A273" t="s">
        <v>1261</v>
      </c>
      <c r="B273" t="str">
        <f>"9781848134935"</f>
        <v>9781848134935</v>
      </c>
      <c r="C273" t="s">
        <v>1262</v>
      </c>
      <c r="D273" t="s">
        <v>1263</v>
      </c>
      <c r="E273" t="s">
        <v>694</v>
      </c>
      <c r="F273" t="s">
        <v>695</v>
      </c>
      <c r="G273" t="s">
        <v>96</v>
      </c>
      <c r="H273" t="s">
        <v>1264</v>
      </c>
    </row>
    <row r="274" spans="1:8" x14ac:dyDescent="0.35">
      <c r="A274" t="s">
        <v>1265</v>
      </c>
      <c r="B274" t="str">
        <f>"9781611460155"</f>
        <v>9781611460155</v>
      </c>
      <c r="C274" t="s">
        <v>1266</v>
      </c>
      <c r="D274" t="s">
        <v>1267</v>
      </c>
      <c r="E274" t="s">
        <v>1268</v>
      </c>
      <c r="G274" t="s">
        <v>60</v>
      </c>
      <c r="H274" t="s">
        <v>1269</v>
      </c>
    </row>
    <row r="275" spans="1:8" x14ac:dyDescent="0.35">
      <c r="A275" t="s">
        <v>1270</v>
      </c>
      <c r="B275" t="str">
        <f>"9780803238275"</f>
        <v>9780803238275</v>
      </c>
      <c r="C275" t="s">
        <v>1271</v>
      </c>
      <c r="D275" t="s">
        <v>1272</v>
      </c>
      <c r="E275" t="s">
        <v>263</v>
      </c>
      <c r="G275" t="s">
        <v>1273</v>
      </c>
      <c r="H275" t="s">
        <v>1274</v>
      </c>
    </row>
    <row r="276" spans="1:8" x14ac:dyDescent="0.35">
      <c r="A276" t="s">
        <v>1275</v>
      </c>
      <c r="B276" t="str">
        <f>"9781442209213"</f>
        <v>9781442209213</v>
      </c>
      <c r="C276" t="s">
        <v>1276</v>
      </c>
      <c r="D276" t="s">
        <v>1277</v>
      </c>
      <c r="E276" t="s">
        <v>524</v>
      </c>
      <c r="F276" t="s">
        <v>1278</v>
      </c>
      <c r="G276" t="s">
        <v>376</v>
      </c>
      <c r="H276" t="s">
        <v>1279</v>
      </c>
    </row>
    <row r="277" spans="1:8" x14ac:dyDescent="0.35">
      <c r="A277" t="s">
        <v>1280</v>
      </c>
      <c r="B277" t="str">
        <f>"9780520950238"</f>
        <v>9780520950238</v>
      </c>
      <c r="C277" t="s">
        <v>1281</v>
      </c>
      <c r="D277" t="s">
        <v>1282</v>
      </c>
      <c r="E277" t="s">
        <v>69</v>
      </c>
      <c r="G277" t="s">
        <v>83</v>
      </c>
      <c r="H277" t="s">
        <v>1283</v>
      </c>
    </row>
    <row r="278" spans="1:8" x14ac:dyDescent="0.35">
      <c r="A278" t="s">
        <v>1284</v>
      </c>
      <c r="B278" t="str">
        <f>"9780816677108"</f>
        <v>9780816677108</v>
      </c>
      <c r="C278" t="s">
        <v>1285</v>
      </c>
      <c r="D278" t="s">
        <v>1286</v>
      </c>
      <c r="E278" t="s">
        <v>273</v>
      </c>
      <c r="G278" t="s">
        <v>112</v>
      </c>
      <c r="H278" t="s">
        <v>1287</v>
      </c>
    </row>
    <row r="279" spans="1:8" x14ac:dyDescent="0.35">
      <c r="A279" t="s">
        <v>1288</v>
      </c>
      <c r="B279" t="str">
        <f>"9780804777681"</f>
        <v>9780804777681</v>
      </c>
      <c r="C279" t="s">
        <v>1289</v>
      </c>
      <c r="D279" t="s">
        <v>1290</v>
      </c>
      <c r="E279" t="s">
        <v>680</v>
      </c>
      <c r="G279" t="s">
        <v>305</v>
      </c>
      <c r="H279" t="s">
        <v>1291</v>
      </c>
    </row>
    <row r="280" spans="1:8" x14ac:dyDescent="0.35">
      <c r="A280" t="s">
        <v>1292</v>
      </c>
      <c r="B280" t="str">
        <f>"9789401200486"</f>
        <v>9789401200486</v>
      </c>
      <c r="C280" t="s">
        <v>1293</v>
      </c>
      <c r="D280" t="s">
        <v>1294</v>
      </c>
      <c r="E280" t="s">
        <v>540</v>
      </c>
      <c r="F280" t="s">
        <v>1295</v>
      </c>
      <c r="G280" t="s">
        <v>60</v>
      </c>
      <c r="H280" t="s">
        <v>1296</v>
      </c>
    </row>
    <row r="281" spans="1:8" x14ac:dyDescent="0.35">
      <c r="A281" t="s">
        <v>1297</v>
      </c>
      <c r="B281" t="str">
        <f>"9789004210028"</f>
        <v>9789004210028</v>
      </c>
      <c r="C281" t="s">
        <v>1298</v>
      </c>
      <c r="D281" t="s">
        <v>1299</v>
      </c>
      <c r="E281" t="s">
        <v>540</v>
      </c>
      <c r="F281" t="s">
        <v>1300</v>
      </c>
      <c r="G281" t="s">
        <v>39</v>
      </c>
      <c r="H281" t="s">
        <v>1301</v>
      </c>
    </row>
    <row r="282" spans="1:8" x14ac:dyDescent="0.35">
      <c r="A282" t="s">
        <v>1302</v>
      </c>
      <c r="B282" t="str">
        <f>"9780816676811"</f>
        <v>9780816676811</v>
      </c>
      <c r="C282" t="s">
        <v>1303</v>
      </c>
      <c r="D282" t="s">
        <v>1304</v>
      </c>
      <c r="E282" t="s">
        <v>273</v>
      </c>
      <c r="F282" t="s">
        <v>1305</v>
      </c>
      <c r="G282" t="s">
        <v>55</v>
      </c>
      <c r="H282" t="s">
        <v>1306</v>
      </c>
    </row>
    <row r="283" spans="1:8" x14ac:dyDescent="0.35">
      <c r="A283" t="s">
        <v>1307</v>
      </c>
      <c r="B283" t="str">
        <f>"9780520949607"</f>
        <v>9780520949607</v>
      </c>
      <c r="C283" t="s">
        <v>1308</v>
      </c>
      <c r="D283" t="s">
        <v>1309</v>
      </c>
      <c r="E283" t="s">
        <v>69</v>
      </c>
      <c r="G283" t="s">
        <v>208</v>
      </c>
      <c r="H283" t="s">
        <v>1310</v>
      </c>
    </row>
    <row r="284" spans="1:8" x14ac:dyDescent="0.35">
      <c r="A284" t="s">
        <v>1311</v>
      </c>
      <c r="B284" t="str">
        <f>"9781442208636"</f>
        <v>9781442208636</v>
      </c>
      <c r="C284" t="s">
        <v>1312</v>
      </c>
      <c r="D284" t="s">
        <v>1313</v>
      </c>
      <c r="E284" t="s">
        <v>524</v>
      </c>
      <c r="F284" t="s">
        <v>1314</v>
      </c>
      <c r="G284" t="s">
        <v>28</v>
      </c>
      <c r="H284" t="s">
        <v>1315</v>
      </c>
    </row>
    <row r="285" spans="1:8" x14ac:dyDescent="0.35">
      <c r="A285" t="s">
        <v>1316</v>
      </c>
      <c r="B285" t="str">
        <f>"9789048513963"</f>
        <v>9789048513963</v>
      </c>
      <c r="C285" t="s">
        <v>1317</v>
      </c>
      <c r="D285" t="s">
        <v>1318</v>
      </c>
      <c r="E285" t="s">
        <v>1319</v>
      </c>
      <c r="G285" t="s">
        <v>282</v>
      </c>
      <c r="H285" t="s">
        <v>1320</v>
      </c>
    </row>
    <row r="286" spans="1:8" x14ac:dyDescent="0.35">
      <c r="A286" t="s">
        <v>1321</v>
      </c>
      <c r="B286" t="str">
        <f>"9789027285096"</f>
        <v>9789027285096</v>
      </c>
      <c r="C286" t="s">
        <v>1322</v>
      </c>
      <c r="D286" t="s">
        <v>1323</v>
      </c>
      <c r="E286" t="s">
        <v>980</v>
      </c>
      <c r="G286" t="s">
        <v>112</v>
      </c>
      <c r="H286" t="s">
        <v>1324</v>
      </c>
    </row>
    <row r="287" spans="1:8" x14ac:dyDescent="0.35">
      <c r="A287" t="s">
        <v>1325</v>
      </c>
      <c r="B287" t="str">
        <f>"9781611480139"</f>
        <v>9781611480139</v>
      </c>
      <c r="C287" t="s">
        <v>1326</v>
      </c>
      <c r="D287" t="s">
        <v>1327</v>
      </c>
      <c r="E287" t="s">
        <v>1328</v>
      </c>
      <c r="G287" t="s">
        <v>60</v>
      </c>
      <c r="H287" t="s">
        <v>1329</v>
      </c>
    </row>
    <row r="288" spans="1:8" x14ac:dyDescent="0.35">
      <c r="A288" t="s">
        <v>1330</v>
      </c>
      <c r="B288" t="str">
        <f>"9789027285034"</f>
        <v>9789027285034</v>
      </c>
      <c r="C288" t="s">
        <v>1331</v>
      </c>
      <c r="D288" t="s">
        <v>1332</v>
      </c>
      <c r="E288" t="s">
        <v>980</v>
      </c>
      <c r="G288" t="s">
        <v>146</v>
      </c>
      <c r="H288" t="s">
        <v>1333</v>
      </c>
    </row>
    <row r="289" spans="1:8" x14ac:dyDescent="0.35">
      <c r="A289" t="s">
        <v>1334</v>
      </c>
      <c r="B289" t="str">
        <f>"9780748637218"</f>
        <v>9780748637218</v>
      </c>
      <c r="C289" t="s">
        <v>1335</v>
      </c>
      <c r="D289" t="s">
        <v>1336</v>
      </c>
      <c r="E289" t="s">
        <v>1337</v>
      </c>
      <c r="G289" t="s">
        <v>1338</v>
      </c>
      <c r="H289" t="s">
        <v>1339</v>
      </c>
    </row>
    <row r="290" spans="1:8" x14ac:dyDescent="0.35">
      <c r="A290" t="s">
        <v>1340</v>
      </c>
      <c r="B290" t="str">
        <f>"9789004206212"</f>
        <v>9789004206212</v>
      </c>
      <c r="C290" t="s">
        <v>1341</v>
      </c>
      <c r="D290" t="s">
        <v>1342</v>
      </c>
      <c r="E290" t="s">
        <v>540</v>
      </c>
      <c r="F290" t="s">
        <v>1343</v>
      </c>
      <c r="G290" t="s">
        <v>1116</v>
      </c>
      <c r="H290" t="s">
        <v>1344</v>
      </c>
    </row>
    <row r="291" spans="1:8" x14ac:dyDescent="0.35">
      <c r="A291" t="s">
        <v>1345</v>
      </c>
      <c r="B291" t="str">
        <f>"9781442212565"</f>
        <v>9781442212565</v>
      </c>
      <c r="C291" t="s">
        <v>1346</v>
      </c>
      <c r="D291" t="s">
        <v>1347</v>
      </c>
      <c r="E291" t="s">
        <v>524</v>
      </c>
      <c r="G291" t="s">
        <v>55</v>
      </c>
      <c r="H291" t="s">
        <v>1348</v>
      </c>
    </row>
    <row r="292" spans="1:8" x14ac:dyDescent="0.35">
      <c r="A292" t="s">
        <v>1349</v>
      </c>
      <c r="B292" t="str">
        <f>"9789004211421"</f>
        <v>9789004211421</v>
      </c>
      <c r="C292" t="s">
        <v>1350</v>
      </c>
      <c r="D292" t="s">
        <v>1351</v>
      </c>
      <c r="E292" t="s">
        <v>540</v>
      </c>
      <c r="F292" t="s">
        <v>1249</v>
      </c>
      <c r="G292" t="s">
        <v>96</v>
      </c>
      <c r="H292" t="s">
        <v>1352</v>
      </c>
    </row>
    <row r="293" spans="1:8" x14ac:dyDescent="0.35">
      <c r="A293" t="s">
        <v>1353</v>
      </c>
      <c r="B293" t="str">
        <f>"9789004205581"</f>
        <v>9789004205581</v>
      </c>
      <c r="C293" t="s">
        <v>1354</v>
      </c>
      <c r="D293" t="s">
        <v>1355</v>
      </c>
      <c r="E293" t="s">
        <v>540</v>
      </c>
      <c r="F293" t="s">
        <v>1356</v>
      </c>
      <c r="G293" t="s">
        <v>39</v>
      </c>
      <c r="H293" t="s">
        <v>1357</v>
      </c>
    </row>
    <row r="294" spans="1:8" x14ac:dyDescent="0.35">
      <c r="A294" t="s">
        <v>1358</v>
      </c>
      <c r="B294" t="str">
        <f>"9781139115834"</f>
        <v>9781139115834</v>
      </c>
      <c r="C294" t="s">
        <v>1359</v>
      </c>
      <c r="D294" t="s">
        <v>1360</v>
      </c>
      <c r="E294" t="s">
        <v>304</v>
      </c>
      <c r="G294" t="s">
        <v>133</v>
      </c>
      <c r="H294" t="s">
        <v>1361</v>
      </c>
    </row>
    <row r="295" spans="1:8" x14ac:dyDescent="0.35">
      <c r="A295" t="s">
        <v>1362</v>
      </c>
      <c r="B295" t="str">
        <f>"9780816678587"</f>
        <v>9780816678587</v>
      </c>
      <c r="C295" t="s">
        <v>1363</v>
      </c>
      <c r="D295" t="s">
        <v>1364</v>
      </c>
      <c r="E295" t="s">
        <v>273</v>
      </c>
      <c r="F295" t="s">
        <v>1305</v>
      </c>
      <c r="G295" t="s">
        <v>60</v>
      </c>
      <c r="H295" t="s">
        <v>1365</v>
      </c>
    </row>
    <row r="296" spans="1:8" x14ac:dyDescent="0.35">
      <c r="A296" t="s">
        <v>1366</v>
      </c>
      <c r="B296" t="str">
        <f>"9780819570833"</f>
        <v>9780819570833</v>
      </c>
      <c r="C296" t="s">
        <v>1367</v>
      </c>
      <c r="D296" t="s">
        <v>1368</v>
      </c>
      <c r="E296" t="s">
        <v>1369</v>
      </c>
      <c r="F296" t="s">
        <v>1370</v>
      </c>
      <c r="G296" t="s">
        <v>60</v>
      </c>
      <c r="H296" t="s">
        <v>1371</v>
      </c>
    </row>
    <row r="297" spans="1:8" x14ac:dyDescent="0.35">
      <c r="A297" t="s">
        <v>1372</v>
      </c>
      <c r="B297" t="str">
        <f>"9780821388037"</f>
        <v>9780821388037</v>
      </c>
      <c r="C297" t="s">
        <v>1373</v>
      </c>
      <c r="D297" t="s">
        <v>1374</v>
      </c>
      <c r="E297" t="s">
        <v>481</v>
      </c>
      <c r="F297" t="s">
        <v>624</v>
      </c>
      <c r="G297" t="s">
        <v>39</v>
      </c>
      <c r="H297" t="s">
        <v>1375</v>
      </c>
    </row>
    <row r="298" spans="1:8" x14ac:dyDescent="0.35">
      <c r="A298" t="s">
        <v>1376</v>
      </c>
      <c r="B298" t="str">
        <f>"9781416614067"</f>
        <v>9781416614067</v>
      </c>
      <c r="C298" t="s">
        <v>1377</v>
      </c>
      <c r="D298" t="s">
        <v>1378</v>
      </c>
      <c r="E298" t="s">
        <v>1379</v>
      </c>
      <c r="G298" t="s">
        <v>112</v>
      </c>
      <c r="H298" t="s">
        <v>1380</v>
      </c>
    </row>
    <row r="299" spans="1:8" x14ac:dyDescent="0.35">
      <c r="A299" t="s">
        <v>1381</v>
      </c>
      <c r="B299" t="str">
        <f>"9780807869246"</f>
        <v>9780807869246</v>
      </c>
      <c r="C299" t="s">
        <v>1382</v>
      </c>
      <c r="D299" t="s">
        <v>1383</v>
      </c>
      <c r="E299" t="s">
        <v>328</v>
      </c>
      <c r="F299" t="s">
        <v>1384</v>
      </c>
      <c r="G299" t="s">
        <v>44</v>
      </c>
      <c r="H299" t="s">
        <v>1385</v>
      </c>
    </row>
    <row r="300" spans="1:8" x14ac:dyDescent="0.35">
      <c r="A300" t="s">
        <v>1386</v>
      </c>
      <c r="B300" t="str">
        <f>"9780520948419"</f>
        <v>9780520948419</v>
      </c>
      <c r="C300" t="s">
        <v>1387</v>
      </c>
      <c r="D300" t="s">
        <v>1388</v>
      </c>
      <c r="E300" t="s">
        <v>69</v>
      </c>
      <c r="G300" t="s">
        <v>39</v>
      </c>
      <c r="H300" t="s">
        <v>1389</v>
      </c>
    </row>
    <row r="301" spans="1:8" x14ac:dyDescent="0.35">
      <c r="A301" t="s">
        <v>1390</v>
      </c>
      <c r="B301" t="str">
        <f>"9789004217669"</f>
        <v>9789004217669</v>
      </c>
      <c r="C301" t="s">
        <v>1391</v>
      </c>
      <c r="D301" t="s">
        <v>1392</v>
      </c>
      <c r="E301" t="s">
        <v>540</v>
      </c>
      <c r="F301" t="s">
        <v>1393</v>
      </c>
      <c r="G301" t="s">
        <v>44</v>
      </c>
      <c r="H301" t="s">
        <v>1394</v>
      </c>
    </row>
    <row r="302" spans="1:8" x14ac:dyDescent="0.35">
      <c r="A302" t="s">
        <v>1395</v>
      </c>
      <c r="B302" t="str">
        <f>"9780857452467"</f>
        <v>9780857452467</v>
      </c>
      <c r="C302" t="s">
        <v>1396</v>
      </c>
      <c r="D302" t="s">
        <v>1397</v>
      </c>
      <c r="E302" t="s">
        <v>1398</v>
      </c>
      <c r="F302" t="s">
        <v>1399</v>
      </c>
      <c r="G302" t="s">
        <v>83</v>
      </c>
      <c r="H302" t="s">
        <v>1400</v>
      </c>
    </row>
    <row r="303" spans="1:8" x14ac:dyDescent="0.35">
      <c r="A303" t="s">
        <v>1401</v>
      </c>
      <c r="B303" t="str">
        <f>"9781848138131"</f>
        <v>9781848138131</v>
      </c>
      <c r="C303" t="s">
        <v>1402</v>
      </c>
      <c r="D303" t="s">
        <v>1403</v>
      </c>
      <c r="E303" t="s">
        <v>694</v>
      </c>
      <c r="G303" t="s">
        <v>22</v>
      </c>
      <c r="H303" t="s">
        <v>1404</v>
      </c>
    </row>
    <row r="304" spans="1:8" x14ac:dyDescent="0.35">
      <c r="A304" t="s">
        <v>1405</v>
      </c>
      <c r="B304" t="str">
        <f>"9781611483932"</f>
        <v>9781611483932</v>
      </c>
      <c r="C304" t="s">
        <v>1406</v>
      </c>
      <c r="D304" t="s">
        <v>1407</v>
      </c>
      <c r="E304" t="s">
        <v>1328</v>
      </c>
      <c r="G304" t="s">
        <v>60</v>
      </c>
      <c r="H304" t="s">
        <v>1408</v>
      </c>
    </row>
    <row r="305" spans="1:8" x14ac:dyDescent="0.35">
      <c r="A305" t="s">
        <v>1409</v>
      </c>
      <c r="B305" t="str">
        <f>"9780708323816"</f>
        <v>9780708323816</v>
      </c>
      <c r="C305" t="s">
        <v>1410</v>
      </c>
      <c r="D305" t="s">
        <v>1411</v>
      </c>
      <c r="E305" t="s">
        <v>710</v>
      </c>
      <c r="F305" t="s">
        <v>711</v>
      </c>
      <c r="G305" t="s">
        <v>44</v>
      </c>
      <c r="H305" t="s">
        <v>1412</v>
      </c>
    </row>
    <row r="306" spans="1:8" x14ac:dyDescent="0.35">
      <c r="A306" t="s">
        <v>1413</v>
      </c>
      <c r="B306" t="str">
        <f>"9780511726286"</f>
        <v>9780511726286</v>
      </c>
      <c r="C306" t="s">
        <v>1414</v>
      </c>
      <c r="D306" t="s">
        <v>1415</v>
      </c>
      <c r="E306" t="s">
        <v>304</v>
      </c>
      <c r="F306" t="s">
        <v>1416</v>
      </c>
      <c r="G306" t="s">
        <v>1116</v>
      </c>
      <c r="H306" t="s">
        <v>1417</v>
      </c>
    </row>
    <row r="307" spans="1:8" x14ac:dyDescent="0.35">
      <c r="A307" t="s">
        <v>1418</v>
      </c>
      <c r="B307" t="str">
        <f>"9781139141468"</f>
        <v>9781139141468</v>
      </c>
      <c r="C307" t="s">
        <v>1419</v>
      </c>
      <c r="D307" t="s">
        <v>1420</v>
      </c>
      <c r="E307" t="s">
        <v>304</v>
      </c>
      <c r="F307" t="s">
        <v>1421</v>
      </c>
      <c r="G307" t="s">
        <v>44</v>
      </c>
      <c r="H307" t="s">
        <v>1422</v>
      </c>
    </row>
    <row r="308" spans="1:8" x14ac:dyDescent="0.35">
      <c r="A308" t="s">
        <v>1423</v>
      </c>
      <c r="B308" t="str">
        <f>"9780804778480"</f>
        <v>9780804778480</v>
      </c>
      <c r="C308" t="s">
        <v>1424</v>
      </c>
      <c r="D308" t="s">
        <v>1425</v>
      </c>
      <c r="E308" t="s">
        <v>680</v>
      </c>
      <c r="G308" t="s">
        <v>39</v>
      </c>
      <c r="H308" t="s">
        <v>1426</v>
      </c>
    </row>
    <row r="309" spans="1:8" x14ac:dyDescent="0.35">
      <c r="A309" t="s">
        <v>1427</v>
      </c>
      <c r="B309" t="str">
        <f>"9780804778558"</f>
        <v>9780804778558</v>
      </c>
      <c r="C309" t="s">
        <v>1428</v>
      </c>
      <c r="D309" t="s">
        <v>1429</v>
      </c>
      <c r="E309" t="s">
        <v>680</v>
      </c>
      <c r="G309" t="s">
        <v>39</v>
      </c>
      <c r="H309" t="s">
        <v>1430</v>
      </c>
    </row>
    <row r="310" spans="1:8" x14ac:dyDescent="0.35">
      <c r="A310" t="s">
        <v>1431</v>
      </c>
      <c r="B310" t="str">
        <f>"9781400839735"</f>
        <v>9781400839735</v>
      </c>
      <c r="C310" t="s">
        <v>1432</v>
      </c>
      <c r="D310" t="s">
        <v>1433</v>
      </c>
      <c r="E310" t="s">
        <v>424</v>
      </c>
      <c r="G310" t="s">
        <v>186</v>
      </c>
      <c r="H310" t="s">
        <v>1434</v>
      </c>
    </row>
    <row r="311" spans="1:8" x14ac:dyDescent="0.35">
      <c r="A311" t="s">
        <v>1435</v>
      </c>
      <c r="B311" t="str">
        <f>"9780804783255"</f>
        <v>9780804783255</v>
      </c>
      <c r="C311" t="s">
        <v>1436</v>
      </c>
      <c r="D311" t="s">
        <v>1437</v>
      </c>
      <c r="E311" t="s">
        <v>680</v>
      </c>
      <c r="G311" t="s">
        <v>186</v>
      </c>
      <c r="H311" t="s">
        <v>1438</v>
      </c>
    </row>
    <row r="312" spans="1:8" x14ac:dyDescent="0.35">
      <c r="A312" t="s">
        <v>1439</v>
      </c>
      <c r="B312" t="str">
        <f>"9780813553481"</f>
        <v>9780813553481</v>
      </c>
      <c r="C312" t="s">
        <v>1440</v>
      </c>
      <c r="D312" t="s">
        <v>1441</v>
      </c>
      <c r="E312" t="s">
        <v>299</v>
      </c>
      <c r="F312" t="s">
        <v>1442</v>
      </c>
      <c r="G312" t="s">
        <v>1047</v>
      </c>
      <c r="H312" t="s">
        <v>1443</v>
      </c>
    </row>
    <row r="313" spans="1:8" x14ac:dyDescent="0.35">
      <c r="A313" t="s">
        <v>1444</v>
      </c>
      <c r="B313" t="str">
        <f>"9780813550251"</f>
        <v>9780813550251</v>
      </c>
      <c r="C313" t="s">
        <v>1445</v>
      </c>
      <c r="D313" t="s">
        <v>1446</v>
      </c>
      <c r="E313" t="s">
        <v>299</v>
      </c>
      <c r="F313" t="s">
        <v>1447</v>
      </c>
      <c r="G313" t="s">
        <v>139</v>
      </c>
      <c r="H313" t="s">
        <v>1448</v>
      </c>
    </row>
    <row r="314" spans="1:8" x14ac:dyDescent="0.35">
      <c r="A314" t="s">
        <v>1449</v>
      </c>
      <c r="B314" t="str">
        <f>"9780253001900"</f>
        <v>9780253001900</v>
      </c>
      <c r="C314" t="s">
        <v>1450</v>
      </c>
      <c r="D314" t="s">
        <v>1451</v>
      </c>
      <c r="E314" t="s">
        <v>151</v>
      </c>
      <c r="G314" t="s">
        <v>60</v>
      </c>
      <c r="H314" t="s">
        <v>1452</v>
      </c>
    </row>
    <row r="315" spans="1:8" x14ac:dyDescent="0.35">
      <c r="A315" t="s">
        <v>1453</v>
      </c>
      <c r="B315" t="str">
        <f>"9781118221754"</f>
        <v>9781118221754</v>
      </c>
      <c r="C315" t="s">
        <v>1454</v>
      </c>
      <c r="D315" t="s">
        <v>1455</v>
      </c>
      <c r="E315" t="s">
        <v>567</v>
      </c>
      <c r="G315" t="s">
        <v>376</v>
      </c>
      <c r="H315" t="s">
        <v>1456</v>
      </c>
    </row>
    <row r="316" spans="1:8" x14ac:dyDescent="0.35">
      <c r="A316" t="s">
        <v>1457</v>
      </c>
      <c r="B316" t="str">
        <f>"9780708323236"</f>
        <v>9780708323236</v>
      </c>
      <c r="C316" t="s">
        <v>1458</v>
      </c>
      <c r="D316" t="s">
        <v>1459</v>
      </c>
      <c r="E316" t="s">
        <v>710</v>
      </c>
      <c r="F316" t="s">
        <v>711</v>
      </c>
      <c r="G316" t="s">
        <v>60</v>
      </c>
      <c r="H316" t="s">
        <v>1460</v>
      </c>
    </row>
    <row r="317" spans="1:8" x14ac:dyDescent="0.35">
      <c r="A317" t="s">
        <v>1461</v>
      </c>
      <c r="B317" t="str">
        <f>"9780708323311"</f>
        <v>9780708323311</v>
      </c>
      <c r="C317" t="s">
        <v>1462</v>
      </c>
      <c r="D317" t="s">
        <v>1463</v>
      </c>
      <c r="E317" t="s">
        <v>710</v>
      </c>
      <c r="F317" t="s">
        <v>1464</v>
      </c>
      <c r="G317" t="s">
        <v>60</v>
      </c>
      <c r="H317" t="s">
        <v>1465</v>
      </c>
    </row>
    <row r="318" spans="1:8" x14ac:dyDescent="0.35">
      <c r="A318" t="s">
        <v>1466</v>
      </c>
      <c r="B318" t="str">
        <f>"9780708324707"</f>
        <v>9780708324707</v>
      </c>
      <c r="C318" t="s">
        <v>1467</v>
      </c>
      <c r="D318" t="s">
        <v>1468</v>
      </c>
      <c r="E318" t="s">
        <v>710</v>
      </c>
      <c r="F318" t="s">
        <v>711</v>
      </c>
      <c r="G318" t="s">
        <v>39</v>
      </c>
      <c r="H318" t="s">
        <v>1469</v>
      </c>
    </row>
    <row r="319" spans="1:8" x14ac:dyDescent="0.35">
      <c r="A319" t="s">
        <v>1470</v>
      </c>
      <c r="B319" t="str">
        <f>"9780821389027"</f>
        <v>9780821389027</v>
      </c>
      <c r="C319" t="s">
        <v>1471</v>
      </c>
      <c r="D319" t="s">
        <v>1472</v>
      </c>
      <c r="E319" t="s">
        <v>481</v>
      </c>
      <c r="F319" t="s">
        <v>624</v>
      </c>
      <c r="G319" t="s">
        <v>39</v>
      </c>
      <c r="H319" t="s">
        <v>1473</v>
      </c>
    </row>
    <row r="320" spans="1:8" x14ac:dyDescent="0.35">
      <c r="A320" t="s">
        <v>1474</v>
      </c>
      <c r="B320" t="str">
        <f>"9780804780551"</f>
        <v>9780804780551</v>
      </c>
      <c r="C320" t="s">
        <v>1475</v>
      </c>
      <c r="D320" t="s">
        <v>1476</v>
      </c>
      <c r="E320" t="s">
        <v>680</v>
      </c>
      <c r="G320" t="s">
        <v>44</v>
      </c>
      <c r="H320" t="s">
        <v>1477</v>
      </c>
    </row>
    <row r="321" spans="1:8" x14ac:dyDescent="0.35">
      <c r="A321" t="s">
        <v>1478</v>
      </c>
      <c r="B321" t="str">
        <f>"9780520952515"</f>
        <v>9780520952515</v>
      </c>
      <c r="C321" t="s">
        <v>1479</v>
      </c>
      <c r="D321" t="s">
        <v>1480</v>
      </c>
      <c r="E321" t="s">
        <v>69</v>
      </c>
      <c r="G321" t="s">
        <v>44</v>
      </c>
      <c r="H321" t="s">
        <v>1481</v>
      </c>
    </row>
    <row r="322" spans="1:8" x14ac:dyDescent="0.35">
      <c r="A322" t="s">
        <v>1482</v>
      </c>
      <c r="B322" t="str">
        <f>"9780821389362"</f>
        <v>9780821389362</v>
      </c>
      <c r="C322" t="s">
        <v>1483</v>
      </c>
      <c r="D322" t="s">
        <v>1484</v>
      </c>
      <c r="E322" t="s">
        <v>481</v>
      </c>
      <c r="F322" t="s">
        <v>1485</v>
      </c>
      <c r="G322" t="s">
        <v>17</v>
      </c>
      <c r="H322" t="s">
        <v>1486</v>
      </c>
    </row>
    <row r="323" spans="1:8" x14ac:dyDescent="0.35">
      <c r="A323" t="s">
        <v>1487</v>
      </c>
      <c r="B323" t="str">
        <f>"9780199921058"</f>
        <v>9780199921058</v>
      </c>
      <c r="C323" t="s">
        <v>1488</v>
      </c>
      <c r="D323" t="s">
        <v>1489</v>
      </c>
      <c r="E323" t="s">
        <v>355</v>
      </c>
      <c r="F323" t="s">
        <v>1490</v>
      </c>
      <c r="G323" t="s">
        <v>60</v>
      </c>
      <c r="H323" t="s">
        <v>1491</v>
      </c>
    </row>
    <row r="324" spans="1:8" x14ac:dyDescent="0.35">
      <c r="A324" t="s">
        <v>1492</v>
      </c>
      <c r="B324" t="str">
        <f>"9780813550404"</f>
        <v>9780813550404</v>
      </c>
      <c r="C324" t="s">
        <v>1493</v>
      </c>
      <c r="D324" t="s">
        <v>1494</v>
      </c>
      <c r="E324" t="s">
        <v>299</v>
      </c>
      <c r="G324" t="s">
        <v>39</v>
      </c>
      <c r="H324" t="s">
        <v>1495</v>
      </c>
    </row>
    <row r="325" spans="1:8" x14ac:dyDescent="0.35">
      <c r="A325" t="s">
        <v>1496</v>
      </c>
      <c r="B325" t="str">
        <f>"9781139218337"</f>
        <v>9781139218337</v>
      </c>
      <c r="C325" t="s">
        <v>1497</v>
      </c>
      <c r="D325" t="s">
        <v>1498</v>
      </c>
      <c r="E325" t="s">
        <v>304</v>
      </c>
      <c r="G325" t="s">
        <v>83</v>
      </c>
      <c r="H325" t="s">
        <v>1499</v>
      </c>
    </row>
    <row r="326" spans="1:8" x14ac:dyDescent="0.35">
      <c r="A326" t="s">
        <v>1500</v>
      </c>
      <c r="B326" t="str">
        <f>"9780804783699"</f>
        <v>9780804783699</v>
      </c>
      <c r="C326" t="s">
        <v>1501</v>
      </c>
      <c r="D326" t="s">
        <v>1502</v>
      </c>
      <c r="E326" t="s">
        <v>680</v>
      </c>
      <c r="G326" t="s">
        <v>44</v>
      </c>
      <c r="H326" t="s">
        <v>1503</v>
      </c>
    </row>
    <row r="327" spans="1:8" x14ac:dyDescent="0.35">
      <c r="A327" t="s">
        <v>1504</v>
      </c>
      <c r="B327" t="str">
        <f>"9780817385958"</f>
        <v>9780817385958</v>
      </c>
      <c r="C327" t="s">
        <v>1505</v>
      </c>
      <c r="D327" t="s">
        <v>1506</v>
      </c>
      <c r="E327" t="s">
        <v>417</v>
      </c>
      <c r="G327" t="s">
        <v>208</v>
      </c>
      <c r="H327" t="s">
        <v>1507</v>
      </c>
    </row>
    <row r="328" spans="1:8" x14ac:dyDescent="0.35">
      <c r="A328" t="s">
        <v>1508</v>
      </c>
      <c r="B328" t="str">
        <f>"9780817382490"</f>
        <v>9780817382490</v>
      </c>
      <c r="C328" t="s">
        <v>1509</v>
      </c>
      <c r="D328" t="s">
        <v>1510</v>
      </c>
      <c r="E328" t="s">
        <v>417</v>
      </c>
      <c r="F328" t="s">
        <v>464</v>
      </c>
      <c r="G328" t="s">
        <v>44</v>
      </c>
      <c r="H328" t="s">
        <v>1511</v>
      </c>
    </row>
    <row r="329" spans="1:8" x14ac:dyDescent="0.35">
      <c r="A329" t="s">
        <v>1512</v>
      </c>
      <c r="B329" t="str">
        <f>"9780520941113"</f>
        <v>9780520941113</v>
      </c>
      <c r="C329" t="s">
        <v>1513</v>
      </c>
      <c r="D329" t="s">
        <v>1514</v>
      </c>
      <c r="E329" t="s">
        <v>69</v>
      </c>
      <c r="G329" t="s">
        <v>55</v>
      </c>
      <c r="H329" t="s">
        <v>1515</v>
      </c>
    </row>
    <row r="330" spans="1:8" x14ac:dyDescent="0.35">
      <c r="A330" t="s">
        <v>1516</v>
      </c>
      <c r="B330" t="str">
        <f>"9780520942660"</f>
        <v>9780520942660</v>
      </c>
      <c r="C330" t="s">
        <v>1517</v>
      </c>
      <c r="D330" t="s">
        <v>1518</v>
      </c>
      <c r="E330" t="s">
        <v>69</v>
      </c>
      <c r="G330" t="s">
        <v>376</v>
      </c>
      <c r="H330" t="s">
        <v>1519</v>
      </c>
    </row>
    <row r="331" spans="1:8" x14ac:dyDescent="0.35">
      <c r="A331" t="s">
        <v>1520</v>
      </c>
      <c r="B331" t="str">
        <f>"9780520942479"</f>
        <v>9780520942479</v>
      </c>
      <c r="C331" t="s">
        <v>1521</v>
      </c>
      <c r="D331" t="s">
        <v>1522</v>
      </c>
      <c r="E331" t="s">
        <v>69</v>
      </c>
      <c r="G331" t="s">
        <v>305</v>
      </c>
      <c r="H331" t="s">
        <v>1523</v>
      </c>
    </row>
    <row r="332" spans="1:8" x14ac:dyDescent="0.35">
      <c r="A332" t="s">
        <v>1524</v>
      </c>
      <c r="B332" t="str">
        <f>"9780826106780"</f>
        <v>9780826106780</v>
      </c>
      <c r="C332" t="s">
        <v>1525</v>
      </c>
      <c r="D332" t="s">
        <v>1526</v>
      </c>
      <c r="E332" t="s">
        <v>202</v>
      </c>
      <c r="G332" t="s">
        <v>1047</v>
      </c>
      <c r="H332" t="s">
        <v>1527</v>
      </c>
    </row>
    <row r="333" spans="1:8" x14ac:dyDescent="0.35">
      <c r="A333" t="s">
        <v>1528</v>
      </c>
      <c r="B333" t="str">
        <f>"9781604738148"</f>
        <v>9781604738148</v>
      </c>
      <c r="C333" t="s">
        <v>1529</v>
      </c>
      <c r="D333" t="s">
        <v>1530</v>
      </c>
      <c r="E333" t="s">
        <v>735</v>
      </c>
      <c r="F333" t="s">
        <v>1531</v>
      </c>
      <c r="G333" t="s">
        <v>39</v>
      </c>
      <c r="H333" t="s">
        <v>1532</v>
      </c>
    </row>
    <row r="334" spans="1:8" x14ac:dyDescent="0.35">
      <c r="A334" t="s">
        <v>1533</v>
      </c>
      <c r="B334" t="str">
        <f>"9781843313649"</f>
        <v>9781843313649</v>
      </c>
      <c r="C334" t="s">
        <v>1534</v>
      </c>
      <c r="D334" t="s">
        <v>1535</v>
      </c>
      <c r="E334" t="s">
        <v>1536</v>
      </c>
      <c r="F334" t="s">
        <v>1537</v>
      </c>
      <c r="G334" t="s">
        <v>39</v>
      </c>
      <c r="H334" t="s">
        <v>1538</v>
      </c>
    </row>
    <row r="335" spans="1:8" x14ac:dyDescent="0.35">
      <c r="A335" t="s">
        <v>1539</v>
      </c>
      <c r="B335" t="str">
        <f>"9780821387443"</f>
        <v>9780821387443</v>
      </c>
      <c r="C335" t="s">
        <v>1540</v>
      </c>
      <c r="D335" t="s">
        <v>1541</v>
      </c>
      <c r="E335" t="s">
        <v>481</v>
      </c>
      <c r="F335" t="s">
        <v>496</v>
      </c>
      <c r="G335" t="s">
        <v>376</v>
      </c>
      <c r="H335" t="s">
        <v>1542</v>
      </c>
    </row>
    <row r="336" spans="1:8" x14ac:dyDescent="0.35">
      <c r="A336" t="s">
        <v>1543</v>
      </c>
      <c r="B336" t="str">
        <f>"9781780321851"</f>
        <v>9781780321851</v>
      </c>
      <c r="C336" t="s">
        <v>1544</v>
      </c>
      <c r="D336" t="s">
        <v>1545</v>
      </c>
      <c r="E336" t="s">
        <v>694</v>
      </c>
      <c r="G336" t="s">
        <v>133</v>
      </c>
      <c r="H336" t="s">
        <v>1546</v>
      </c>
    </row>
    <row r="337" spans="1:8" x14ac:dyDescent="0.35">
      <c r="A337" t="s">
        <v>1547</v>
      </c>
      <c r="B337" t="str">
        <f>"9789004221925"</f>
        <v>9789004221925</v>
      </c>
      <c r="C337" t="s">
        <v>1548</v>
      </c>
      <c r="D337" t="s">
        <v>1549</v>
      </c>
      <c r="E337" t="s">
        <v>540</v>
      </c>
      <c r="F337" t="s">
        <v>1550</v>
      </c>
      <c r="G337" t="s">
        <v>1551</v>
      </c>
      <c r="H337" t="s">
        <v>1552</v>
      </c>
    </row>
    <row r="338" spans="1:8" x14ac:dyDescent="0.35">
      <c r="A338" t="s">
        <v>1553</v>
      </c>
      <c r="B338" t="str">
        <f>"9780804783712"</f>
        <v>9780804783712</v>
      </c>
      <c r="C338" t="s">
        <v>1554</v>
      </c>
      <c r="D338" t="s">
        <v>1555</v>
      </c>
      <c r="E338" t="s">
        <v>680</v>
      </c>
      <c r="G338" t="s">
        <v>55</v>
      </c>
      <c r="H338" t="s">
        <v>1556</v>
      </c>
    </row>
    <row r="339" spans="1:8" x14ac:dyDescent="0.35">
      <c r="A339" t="s">
        <v>1557</v>
      </c>
      <c r="B339" t="str">
        <f>"9780520933866"</f>
        <v>9780520933866</v>
      </c>
      <c r="C339" t="s">
        <v>1558</v>
      </c>
      <c r="D339" t="s">
        <v>1559</v>
      </c>
      <c r="E339" t="s">
        <v>69</v>
      </c>
      <c r="G339" t="s">
        <v>17</v>
      </c>
      <c r="H339" t="s">
        <v>1560</v>
      </c>
    </row>
    <row r="340" spans="1:8" x14ac:dyDescent="0.35">
      <c r="A340" t="s">
        <v>1561</v>
      </c>
      <c r="B340" t="str">
        <f>"9780813550183"</f>
        <v>9780813550183</v>
      </c>
      <c r="C340" t="s">
        <v>1562</v>
      </c>
      <c r="D340" t="s">
        <v>1563</v>
      </c>
      <c r="E340" t="s">
        <v>299</v>
      </c>
      <c r="F340" t="s">
        <v>1564</v>
      </c>
      <c r="G340" t="s">
        <v>44</v>
      </c>
      <c r="H340" t="s">
        <v>1565</v>
      </c>
    </row>
    <row r="341" spans="1:8" x14ac:dyDescent="0.35">
      <c r="A341" t="s">
        <v>1566</v>
      </c>
      <c r="B341" t="str">
        <f>"9780813551043"</f>
        <v>9780813551043</v>
      </c>
      <c r="C341" t="s">
        <v>1567</v>
      </c>
      <c r="D341" t="s">
        <v>1568</v>
      </c>
      <c r="E341" t="s">
        <v>299</v>
      </c>
      <c r="G341" t="s">
        <v>39</v>
      </c>
      <c r="H341" t="s">
        <v>1569</v>
      </c>
    </row>
    <row r="342" spans="1:8" x14ac:dyDescent="0.35">
      <c r="A342" t="s">
        <v>1570</v>
      </c>
      <c r="B342" t="str">
        <f>"9780520951792"</f>
        <v>9780520951792</v>
      </c>
      <c r="C342" t="s">
        <v>1571</v>
      </c>
      <c r="D342" t="s">
        <v>1572</v>
      </c>
      <c r="E342" t="s">
        <v>69</v>
      </c>
      <c r="G342" t="s">
        <v>55</v>
      </c>
      <c r="H342" t="s">
        <v>1573</v>
      </c>
    </row>
    <row r="343" spans="1:8" x14ac:dyDescent="0.35">
      <c r="A343" t="s">
        <v>1574</v>
      </c>
      <c r="B343" t="str">
        <f>"9780813552019"</f>
        <v>9780813552019</v>
      </c>
      <c r="C343" t="s">
        <v>1575</v>
      </c>
      <c r="D343" t="s">
        <v>1576</v>
      </c>
      <c r="E343" t="s">
        <v>299</v>
      </c>
      <c r="F343" t="s">
        <v>1577</v>
      </c>
      <c r="G343" t="s">
        <v>39</v>
      </c>
      <c r="H343" t="s">
        <v>1578</v>
      </c>
    </row>
    <row r="344" spans="1:8" x14ac:dyDescent="0.35">
      <c r="A344" t="s">
        <v>1579</v>
      </c>
      <c r="B344" t="str">
        <f>"9781611484236"</f>
        <v>9781611484236</v>
      </c>
      <c r="C344" t="s">
        <v>1580</v>
      </c>
      <c r="D344" t="s">
        <v>1581</v>
      </c>
      <c r="E344" t="s">
        <v>1328</v>
      </c>
      <c r="G344" t="s">
        <v>60</v>
      </c>
      <c r="H344" t="s">
        <v>1582</v>
      </c>
    </row>
    <row r="345" spans="1:8" x14ac:dyDescent="0.35">
      <c r="A345" t="s">
        <v>1583</v>
      </c>
      <c r="B345" t="str">
        <f>"9780520950290"</f>
        <v>9780520950290</v>
      </c>
      <c r="C345" t="s">
        <v>1584</v>
      </c>
      <c r="D345" t="s">
        <v>1585</v>
      </c>
      <c r="E345" t="s">
        <v>69</v>
      </c>
      <c r="G345" t="s">
        <v>44</v>
      </c>
      <c r="H345" t="s">
        <v>1586</v>
      </c>
    </row>
    <row r="346" spans="1:8" x14ac:dyDescent="0.35">
      <c r="A346" t="s">
        <v>1587</v>
      </c>
      <c r="B346" t="str">
        <f>"9780817386191"</f>
        <v>9780817386191</v>
      </c>
      <c r="C346" t="s">
        <v>1588</v>
      </c>
      <c r="D346" t="s">
        <v>1589</v>
      </c>
      <c r="E346" t="s">
        <v>417</v>
      </c>
      <c r="G346" t="s">
        <v>44</v>
      </c>
      <c r="H346" t="s">
        <v>1590</v>
      </c>
    </row>
    <row r="347" spans="1:8" x14ac:dyDescent="0.35">
      <c r="A347" t="s">
        <v>1591</v>
      </c>
      <c r="B347" t="str">
        <f>"9780813550701"</f>
        <v>9780813550701</v>
      </c>
      <c r="C347" t="s">
        <v>1592</v>
      </c>
      <c r="D347" t="s">
        <v>1593</v>
      </c>
      <c r="E347" t="s">
        <v>299</v>
      </c>
      <c r="F347" t="s">
        <v>1447</v>
      </c>
      <c r="G347" t="s">
        <v>44</v>
      </c>
      <c r="H347" t="s">
        <v>1594</v>
      </c>
    </row>
    <row r="348" spans="1:8" x14ac:dyDescent="0.35">
      <c r="A348" t="s">
        <v>1595</v>
      </c>
      <c r="B348" t="str">
        <f>"9780813552262"</f>
        <v>9780813552262</v>
      </c>
      <c r="C348" t="s">
        <v>1596</v>
      </c>
      <c r="D348" t="s">
        <v>1568</v>
      </c>
      <c r="E348" t="s">
        <v>299</v>
      </c>
      <c r="G348" t="s">
        <v>55</v>
      </c>
      <c r="H348" t="s">
        <v>1597</v>
      </c>
    </row>
    <row r="349" spans="1:8" x14ac:dyDescent="0.35">
      <c r="A349" t="s">
        <v>1598</v>
      </c>
      <c r="B349" t="str">
        <f>"9781118228050"</f>
        <v>9781118228050</v>
      </c>
      <c r="C349" t="s">
        <v>1599</v>
      </c>
      <c r="D349" t="s">
        <v>1600</v>
      </c>
      <c r="E349" t="s">
        <v>567</v>
      </c>
      <c r="F349" t="s">
        <v>1601</v>
      </c>
      <c r="G349" t="s">
        <v>146</v>
      </c>
      <c r="H349" t="s">
        <v>1602</v>
      </c>
    </row>
    <row r="350" spans="1:8" x14ac:dyDescent="0.35">
      <c r="A350" t="s">
        <v>1603</v>
      </c>
      <c r="B350" t="str">
        <f>"9781611474688"</f>
        <v>9781611474688</v>
      </c>
      <c r="C350" t="s">
        <v>1604</v>
      </c>
      <c r="D350" t="s">
        <v>1605</v>
      </c>
      <c r="E350" t="s">
        <v>1606</v>
      </c>
      <c r="G350" t="s">
        <v>139</v>
      </c>
      <c r="H350" t="s">
        <v>1607</v>
      </c>
    </row>
    <row r="351" spans="1:8" x14ac:dyDescent="0.35">
      <c r="A351" t="s">
        <v>1608</v>
      </c>
      <c r="B351" t="str">
        <f>"9781611483871"</f>
        <v>9781611483871</v>
      </c>
      <c r="C351" t="s">
        <v>1609</v>
      </c>
      <c r="D351" t="s">
        <v>1610</v>
      </c>
      <c r="E351" t="s">
        <v>1328</v>
      </c>
      <c r="G351" t="s">
        <v>1611</v>
      </c>
      <c r="H351" t="s">
        <v>1612</v>
      </c>
    </row>
    <row r="352" spans="1:8" x14ac:dyDescent="0.35">
      <c r="A352" t="s">
        <v>1613</v>
      </c>
      <c r="B352" t="str">
        <f>"9780813549767"</f>
        <v>9780813549767</v>
      </c>
      <c r="C352" t="s">
        <v>1614</v>
      </c>
      <c r="D352" t="s">
        <v>1615</v>
      </c>
      <c r="E352" t="s">
        <v>299</v>
      </c>
      <c r="F352" t="s">
        <v>1577</v>
      </c>
      <c r="G352" t="s">
        <v>191</v>
      </c>
      <c r="H352" t="s">
        <v>1616</v>
      </c>
    </row>
    <row r="353" spans="1:8" x14ac:dyDescent="0.35">
      <c r="A353" t="s">
        <v>1617</v>
      </c>
      <c r="B353" t="str">
        <f>"9780814722930"</f>
        <v>9780814722930</v>
      </c>
      <c r="C353" t="s">
        <v>1618</v>
      </c>
      <c r="D353" t="s">
        <v>1619</v>
      </c>
      <c r="E353" t="s">
        <v>1620</v>
      </c>
      <c r="G353" t="s">
        <v>55</v>
      </c>
      <c r="H353" t="s">
        <v>1621</v>
      </c>
    </row>
    <row r="354" spans="1:8" x14ac:dyDescent="0.35">
      <c r="A354" t="s">
        <v>1622</v>
      </c>
      <c r="B354" t="str">
        <f>"9780814744314"</f>
        <v>9780814744314</v>
      </c>
      <c r="C354" t="s">
        <v>1623</v>
      </c>
      <c r="D354" t="s">
        <v>1624</v>
      </c>
      <c r="E354" t="s">
        <v>1620</v>
      </c>
      <c r="G354" t="s">
        <v>44</v>
      </c>
      <c r="H354" t="s">
        <v>1625</v>
      </c>
    </row>
    <row r="355" spans="1:8" x14ac:dyDescent="0.35">
      <c r="A355" t="s">
        <v>1626</v>
      </c>
      <c r="B355" t="str">
        <f>"9780814772904"</f>
        <v>9780814772904</v>
      </c>
      <c r="C355" t="s">
        <v>1627</v>
      </c>
      <c r="D355" t="s">
        <v>1628</v>
      </c>
      <c r="E355" t="s">
        <v>1620</v>
      </c>
      <c r="G355" t="s">
        <v>139</v>
      </c>
      <c r="H355" t="s">
        <v>1629</v>
      </c>
    </row>
    <row r="356" spans="1:8" x14ac:dyDescent="0.35">
      <c r="A356" t="s">
        <v>1630</v>
      </c>
      <c r="B356" t="str">
        <f>"9780814789537"</f>
        <v>9780814789537</v>
      </c>
      <c r="C356" t="s">
        <v>1631</v>
      </c>
      <c r="D356" t="s">
        <v>1632</v>
      </c>
      <c r="E356" t="s">
        <v>1620</v>
      </c>
      <c r="F356" t="s">
        <v>1633</v>
      </c>
      <c r="G356" t="s">
        <v>1634</v>
      </c>
      <c r="H356" t="s">
        <v>1635</v>
      </c>
    </row>
    <row r="357" spans="1:8" x14ac:dyDescent="0.35">
      <c r="A357" t="s">
        <v>1636</v>
      </c>
      <c r="B357" t="str">
        <f>"9780814789858"</f>
        <v>9780814789858</v>
      </c>
      <c r="C357" t="s">
        <v>1637</v>
      </c>
      <c r="D357" t="s">
        <v>1638</v>
      </c>
      <c r="E357" t="s">
        <v>1620</v>
      </c>
      <c r="G357" t="s">
        <v>55</v>
      </c>
      <c r="H357" t="s">
        <v>1639</v>
      </c>
    </row>
    <row r="358" spans="1:8" x14ac:dyDescent="0.35">
      <c r="A358" t="s">
        <v>1640</v>
      </c>
      <c r="B358" t="str">
        <f>"9781139340335"</f>
        <v>9781139340335</v>
      </c>
      <c r="C358" t="s">
        <v>1641</v>
      </c>
      <c r="D358" t="s">
        <v>1642</v>
      </c>
      <c r="E358" t="s">
        <v>304</v>
      </c>
      <c r="G358" t="s">
        <v>376</v>
      </c>
      <c r="H358" t="s">
        <v>1643</v>
      </c>
    </row>
    <row r="359" spans="1:8" x14ac:dyDescent="0.35">
      <c r="A359" t="s">
        <v>1644</v>
      </c>
      <c r="B359" t="str">
        <f>"9780807882511"</f>
        <v>9780807882511</v>
      </c>
      <c r="C359" t="s">
        <v>1645</v>
      </c>
      <c r="D359" t="s">
        <v>1646</v>
      </c>
      <c r="E359" t="s">
        <v>328</v>
      </c>
      <c r="F359" t="s">
        <v>749</v>
      </c>
      <c r="G359" t="s">
        <v>39</v>
      </c>
      <c r="H359" t="s">
        <v>1647</v>
      </c>
    </row>
    <row r="360" spans="1:8" x14ac:dyDescent="0.35">
      <c r="A360" t="s">
        <v>1648</v>
      </c>
      <c r="B360" t="str">
        <f>"9780821389331"</f>
        <v>9780821389331</v>
      </c>
      <c r="C360" t="s">
        <v>1649</v>
      </c>
      <c r="D360" t="s">
        <v>1650</v>
      </c>
      <c r="E360" t="s">
        <v>481</v>
      </c>
      <c r="F360" t="s">
        <v>624</v>
      </c>
      <c r="G360" t="s">
        <v>28</v>
      </c>
      <c r="H360" t="s">
        <v>1651</v>
      </c>
    </row>
    <row r="361" spans="1:8" x14ac:dyDescent="0.35">
      <c r="A361" t="s">
        <v>1652</v>
      </c>
      <c r="B361" t="str">
        <f>"9780821389294"</f>
        <v>9780821389294</v>
      </c>
      <c r="C361" t="s">
        <v>1653</v>
      </c>
      <c r="D361" t="s">
        <v>1654</v>
      </c>
      <c r="E361" t="s">
        <v>481</v>
      </c>
      <c r="F361" t="s">
        <v>1204</v>
      </c>
      <c r="G361" t="s">
        <v>1655</v>
      </c>
      <c r="H361" t="s">
        <v>1656</v>
      </c>
    </row>
    <row r="362" spans="1:8" x14ac:dyDescent="0.35">
      <c r="A362" t="s">
        <v>1657</v>
      </c>
      <c r="B362" t="str">
        <f>"9780821389355"</f>
        <v>9780821389355</v>
      </c>
      <c r="C362" t="s">
        <v>1658</v>
      </c>
      <c r="D362" t="s">
        <v>1659</v>
      </c>
      <c r="E362" t="s">
        <v>481</v>
      </c>
      <c r="F362" t="s">
        <v>624</v>
      </c>
      <c r="G362" t="s">
        <v>1660</v>
      </c>
      <c r="H362" t="s">
        <v>1661</v>
      </c>
    </row>
    <row r="363" spans="1:8" x14ac:dyDescent="0.35">
      <c r="A363" t="s">
        <v>1662</v>
      </c>
      <c r="B363" t="str">
        <f>"9780813549231"</f>
        <v>9780813549231</v>
      </c>
      <c r="C363" t="s">
        <v>1663</v>
      </c>
      <c r="D363" t="s">
        <v>1664</v>
      </c>
      <c r="E363" t="s">
        <v>299</v>
      </c>
      <c r="G363" t="s">
        <v>39</v>
      </c>
      <c r="H363" t="s">
        <v>1665</v>
      </c>
    </row>
    <row r="364" spans="1:8" x14ac:dyDescent="0.35">
      <c r="A364" t="s">
        <v>1666</v>
      </c>
      <c r="B364" t="str">
        <f>"9780813555416"</f>
        <v>9780813555416</v>
      </c>
      <c r="C364" t="s">
        <v>1667</v>
      </c>
      <c r="D364" t="s">
        <v>1668</v>
      </c>
      <c r="E364" t="s">
        <v>299</v>
      </c>
      <c r="G364" t="s">
        <v>39</v>
      </c>
      <c r="H364" t="s">
        <v>1669</v>
      </c>
    </row>
    <row r="365" spans="1:8" x14ac:dyDescent="0.35">
      <c r="A365" t="s">
        <v>1670</v>
      </c>
      <c r="B365" t="str">
        <f>"9780813549255"</f>
        <v>9780813549255</v>
      </c>
      <c r="C365" t="s">
        <v>1671</v>
      </c>
      <c r="D365" t="s">
        <v>1672</v>
      </c>
      <c r="E365" t="s">
        <v>299</v>
      </c>
      <c r="F365" t="s">
        <v>1442</v>
      </c>
      <c r="G365" t="s">
        <v>1047</v>
      </c>
      <c r="H365" t="s">
        <v>1673</v>
      </c>
    </row>
    <row r="366" spans="1:8" x14ac:dyDescent="0.35">
      <c r="A366" t="s">
        <v>1674</v>
      </c>
      <c r="B366" t="str">
        <f>"9780813549101"</f>
        <v>9780813549101</v>
      </c>
      <c r="C366" t="s">
        <v>1675</v>
      </c>
      <c r="D366" t="s">
        <v>1676</v>
      </c>
      <c r="E366" t="s">
        <v>299</v>
      </c>
      <c r="F366" t="s">
        <v>412</v>
      </c>
      <c r="G366" t="s">
        <v>39</v>
      </c>
      <c r="H366" t="s">
        <v>1677</v>
      </c>
    </row>
    <row r="367" spans="1:8" x14ac:dyDescent="0.35">
      <c r="A367" t="s">
        <v>1678</v>
      </c>
      <c r="B367" t="str">
        <f>"9780813548227"</f>
        <v>9780813548227</v>
      </c>
      <c r="C367" t="s">
        <v>1679</v>
      </c>
      <c r="D367" t="s">
        <v>1680</v>
      </c>
      <c r="E367" t="s">
        <v>299</v>
      </c>
      <c r="G367" t="s">
        <v>55</v>
      </c>
      <c r="H367" t="s">
        <v>1681</v>
      </c>
    </row>
    <row r="368" spans="1:8" x14ac:dyDescent="0.35">
      <c r="A368" t="s">
        <v>1682</v>
      </c>
      <c r="B368" t="str">
        <f>"9780739169803"</f>
        <v>9780739169803</v>
      </c>
      <c r="C368" t="s">
        <v>1683</v>
      </c>
      <c r="D368" t="s">
        <v>1684</v>
      </c>
      <c r="E368" t="s">
        <v>518</v>
      </c>
      <c r="G368" t="s">
        <v>726</v>
      </c>
      <c r="H368" t="s">
        <v>1685</v>
      </c>
    </row>
    <row r="369" spans="1:8" x14ac:dyDescent="0.35">
      <c r="A369" t="s">
        <v>1686</v>
      </c>
      <c r="B369" t="str">
        <f>"9780857289155"</f>
        <v>9780857289155</v>
      </c>
      <c r="C369" t="s">
        <v>1687</v>
      </c>
      <c r="D369" t="s">
        <v>1688</v>
      </c>
      <c r="E369" t="s">
        <v>1536</v>
      </c>
      <c r="F369" t="s">
        <v>1689</v>
      </c>
      <c r="G369" t="s">
        <v>1690</v>
      </c>
      <c r="H369" t="s">
        <v>1691</v>
      </c>
    </row>
    <row r="370" spans="1:8" x14ac:dyDescent="0.35">
      <c r="A370" t="s">
        <v>1692</v>
      </c>
      <c r="B370" t="str">
        <f>"9780821389065"</f>
        <v>9780821389065</v>
      </c>
      <c r="C370" t="s">
        <v>1693</v>
      </c>
      <c r="D370" t="s">
        <v>1694</v>
      </c>
      <c r="E370" t="s">
        <v>481</v>
      </c>
      <c r="F370" t="s">
        <v>496</v>
      </c>
      <c r="G370" t="s">
        <v>17</v>
      </c>
      <c r="H370" t="s">
        <v>1695</v>
      </c>
    </row>
    <row r="371" spans="1:8" x14ac:dyDescent="0.35">
      <c r="A371" t="s">
        <v>1696</v>
      </c>
      <c r="B371" t="str">
        <f>"9780804782067"</f>
        <v>9780804782067</v>
      </c>
      <c r="C371" t="s">
        <v>1697</v>
      </c>
      <c r="D371" t="s">
        <v>1698</v>
      </c>
      <c r="E371" t="s">
        <v>680</v>
      </c>
      <c r="G371" t="s">
        <v>39</v>
      </c>
      <c r="H371" t="s">
        <v>1699</v>
      </c>
    </row>
    <row r="372" spans="1:8" x14ac:dyDescent="0.35">
      <c r="A372" t="s">
        <v>1700</v>
      </c>
      <c r="B372" t="str">
        <f>"9780807867730"</f>
        <v>9780807867730</v>
      </c>
      <c r="C372" t="s">
        <v>1701</v>
      </c>
      <c r="D372" t="s">
        <v>1702</v>
      </c>
      <c r="E372" t="s">
        <v>328</v>
      </c>
      <c r="G372" t="s">
        <v>44</v>
      </c>
      <c r="H372" t="s">
        <v>1703</v>
      </c>
    </row>
    <row r="373" spans="1:8" x14ac:dyDescent="0.35">
      <c r="A373" t="s">
        <v>1704</v>
      </c>
      <c r="B373" t="str">
        <f>"9780807888940"</f>
        <v>9780807888940</v>
      </c>
      <c r="C373" t="s">
        <v>1705</v>
      </c>
      <c r="D373" t="s">
        <v>1706</v>
      </c>
      <c r="E373" t="s">
        <v>328</v>
      </c>
      <c r="G373" t="s">
        <v>186</v>
      </c>
      <c r="H373" t="s">
        <v>1707</v>
      </c>
    </row>
    <row r="374" spans="1:8" x14ac:dyDescent="0.35">
      <c r="A374" t="s">
        <v>1708</v>
      </c>
      <c r="B374" t="str">
        <f>"9781139374958"</f>
        <v>9781139374958</v>
      </c>
      <c r="C374" t="s">
        <v>1709</v>
      </c>
      <c r="D374" t="s">
        <v>1710</v>
      </c>
      <c r="E374" t="s">
        <v>304</v>
      </c>
      <c r="G374" t="s">
        <v>96</v>
      </c>
      <c r="H374" t="s">
        <v>1711</v>
      </c>
    </row>
    <row r="375" spans="1:8" x14ac:dyDescent="0.35">
      <c r="A375" t="s">
        <v>1712</v>
      </c>
      <c r="B375" t="str">
        <f>"9781611484250"</f>
        <v>9781611484250</v>
      </c>
      <c r="C375" t="s">
        <v>1713</v>
      </c>
      <c r="D375" t="s">
        <v>1714</v>
      </c>
      <c r="E375" t="s">
        <v>1328</v>
      </c>
      <c r="G375" t="s">
        <v>44</v>
      </c>
      <c r="H375" t="s">
        <v>1715</v>
      </c>
    </row>
    <row r="376" spans="1:8" x14ac:dyDescent="0.35">
      <c r="A376" t="s">
        <v>1716</v>
      </c>
      <c r="B376" t="str">
        <f>"9780804784474"</f>
        <v>9780804784474</v>
      </c>
      <c r="C376" t="s">
        <v>1717</v>
      </c>
      <c r="D376" t="s">
        <v>1718</v>
      </c>
      <c r="E376" t="s">
        <v>680</v>
      </c>
      <c r="G376" t="s">
        <v>44</v>
      </c>
      <c r="H376" t="s">
        <v>1719</v>
      </c>
    </row>
    <row r="377" spans="1:8" x14ac:dyDescent="0.35">
      <c r="A377" t="s">
        <v>1720</v>
      </c>
      <c r="B377" t="str">
        <f>"9780804784634"</f>
        <v>9780804784634</v>
      </c>
      <c r="C377" t="s">
        <v>1721</v>
      </c>
      <c r="D377" t="s">
        <v>1722</v>
      </c>
      <c r="E377" t="s">
        <v>680</v>
      </c>
      <c r="G377" t="s">
        <v>44</v>
      </c>
      <c r="H377" t="s">
        <v>1723</v>
      </c>
    </row>
    <row r="378" spans="1:8" x14ac:dyDescent="0.35">
      <c r="A378" t="s">
        <v>1724</v>
      </c>
      <c r="B378" t="str">
        <f>"9780813548371"</f>
        <v>9780813548371</v>
      </c>
      <c r="C378" t="s">
        <v>1725</v>
      </c>
      <c r="D378" t="s">
        <v>1726</v>
      </c>
      <c r="E378" t="s">
        <v>299</v>
      </c>
      <c r="F378" t="s">
        <v>1447</v>
      </c>
      <c r="G378" t="s">
        <v>1727</v>
      </c>
      <c r="H378" t="s">
        <v>1728</v>
      </c>
    </row>
    <row r="379" spans="1:8" x14ac:dyDescent="0.35">
      <c r="A379" t="s">
        <v>1729</v>
      </c>
      <c r="B379" t="str">
        <f>"9780804782531"</f>
        <v>9780804782531</v>
      </c>
      <c r="C379" t="s">
        <v>1730</v>
      </c>
      <c r="D379" t="s">
        <v>1731</v>
      </c>
      <c r="E379" t="s">
        <v>680</v>
      </c>
      <c r="G379" t="s">
        <v>55</v>
      </c>
      <c r="H379" t="s">
        <v>1732</v>
      </c>
    </row>
    <row r="380" spans="1:8" x14ac:dyDescent="0.35">
      <c r="A380" t="s">
        <v>1733</v>
      </c>
      <c r="B380" t="str">
        <f>"9780739169650"</f>
        <v>9780739169650</v>
      </c>
      <c r="C380" t="s">
        <v>1734</v>
      </c>
      <c r="D380" t="s">
        <v>1735</v>
      </c>
      <c r="E380" t="s">
        <v>518</v>
      </c>
      <c r="F380" t="s">
        <v>1736</v>
      </c>
      <c r="G380" t="s">
        <v>139</v>
      </c>
      <c r="H380" t="s">
        <v>1737</v>
      </c>
    </row>
    <row r="381" spans="1:8" x14ac:dyDescent="0.35">
      <c r="A381" t="s">
        <v>1738</v>
      </c>
      <c r="B381" t="str">
        <f>"9780803240162"</f>
        <v>9780803240162</v>
      </c>
      <c r="C381" t="s">
        <v>1739</v>
      </c>
      <c r="D381" t="s">
        <v>1740</v>
      </c>
      <c r="E381" t="s">
        <v>1741</v>
      </c>
      <c r="F381" t="s">
        <v>1742</v>
      </c>
      <c r="G381" t="s">
        <v>60</v>
      </c>
      <c r="H381" t="s">
        <v>1743</v>
      </c>
    </row>
    <row r="382" spans="1:8" x14ac:dyDescent="0.35">
      <c r="A382" t="s">
        <v>1744</v>
      </c>
      <c r="B382" t="str">
        <f>"9780813548531"</f>
        <v>9780813548531</v>
      </c>
      <c r="C382" t="s">
        <v>1745</v>
      </c>
      <c r="D382" t="s">
        <v>1746</v>
      </c>
      <c r="E382" t="s">
        <v>299</v>
      </c>
      <c r="F382" t="s">
        <v>412</v>
      </c>
      <c r="G382" t="s">
        <v>39</v>
      </c>
      <c r="H382" t="s">
        <v>1747</v>
      </c>
    </row>
    <row r="383" spans="1:8" x14ac:dyDescent="0.35">
      <c r="A383" t="s">
        <v>1748</v>
      </c>
      <c r="B383" t="str">
        <f>"9780813548579"</f>
        <v>9780813548579</v>
      </c>
      <c r="C383" t="s">
        <v>1749</v>
      </c>
      <c r="D383" t="s">
        <v>1750</v>
      </c>
      <c r="E383" t="s">
        <v>299</v>
      </c>
      <c r="F383" t="s">
        <v>1447</v>
      </c>
      <c r="G383" t="s">
        <v>39</v>
      </c>
      <c r="H383" t="s">
        <v>1751</v>
      </c>
    </row>
    <row r="384" spans="1:8" x14ac:dyDescent="0.35">
      <c r="A384" t="s">
        <v>1752</v>
      </c>
      <c r="B384" t="str">
        <f>"9780231521789"</f>
        <v>9780231521789</v>
      </c>
      <c r="C384" t="s">
        <v>1753</v>
      </c>
      <c r="D384" t="s">
        <v>1754</v>
      </c>
      <c r="E384" t="s">
        <v>1755</v>
      </c>
      <c r="G384" t="s">
        <v>17</v>
      </c>
      <c r="H384" t="s">
        <v>1756</v>
      </c>
    </row>
    <row r="385" spans="1:8" x14ac:dyDescent="0.35">
      <c r="A385" t="s">
        <v>1757</v>
      </c>
      <c r="B385" t="str">
        <f>"9780813553269"</f>
        <v>9780813553269</v>
      </c>
      <c r="C385" t="s">
        <v>1758</v>
      </c>
      <c r="D385" t="s">
        <v>1759</v>
      </c>
      <c r="E385" t="s">
        <v>299</v>
      </c>
      <c r="F385" t="s">
        <v>1447</v>
      </c>
      <c r="G385" t="s">
        <v>106</v>
      </c>
      <c r="H385" t="s">
        <v>1760</v>
      </c>
    </row>
    <row r="386" spans="1:8" x14ac:dyDescent="0.35">
      <c r="A386" t="s">
        <v>1761</v>
      </c>
      <c r="B386" t="str">
        <f>"9781780320908"</f>
        <v>9781780320908</v>
      </c>
      <c r="C386" t="s">
        <v>1762</v>
      </c>
      <c r="D386" t="s">
        <v>1763</v>
      </c>
      <c r="E386" t="s">
        <v>694</v>
      </c>
      <c r="G386" t="s">
        <v>22</v>
      </c>
      <c r="H386" t="s">
        <v>1764</v>
      </c>
    </row>
    <row r="387" spans="1:8" x14ac:dyDescent="0.35">
      <c r="A387" t="s">
        <v>1765</v>
      </c>
      <c r="B387" t="str">
        <f>"9780520951754"</f>
        <v>9780520951754</v>
      </c>
      <c r="C387" t="s">
        <v>1766</v>
      </c>
      <c r="D387" t="s">
        <v>1767</v>
      </c>
      <c r="E387" t="s">
        <v>69</v>
      </c>
      <c r="G387" t="s">
        <v>133</v>
      </c>
      <c r="H387" t="s">
        <v>1768</v>
      </c>
    </row>
    <row r="388" spans="1:8" x14ac:dyDescent="0.35">
      <c r="A388" t="s">
        <v>1769</v>
      </c>
      <c r="B388" t="str">
        <f>"9780816680153"</f>
        <v>9780816680153</v>
      </c>
      <c r="C388" t="s">
        <v>1770</v>
      </c>
      <c r="D388" t="s">
        <v>1771</v>
      </c>
      <c r="E388" t="s">
        <v>273</v>
      </c>
      <c r="G388" t="s">
        <v>44</v>
      </c>
      <c r="H388" t="s">
        <v>1772</v>
      </c>
    </row>
    <row r="389" spans="1:8" x14ac:dyDescent="0.35">
      <c r="A389" t="s">
        <v>1773</v>
      </c>
      <c r="B389" t="str">
        <f>"9780813553283"</f>
        <v>9780813553283</v>
      </c>
      <c r="C389" t="s">
        <v>1774</v>
      </c>
      <c r="D389" t="s">
        <v>1775</v>
      </c>
      <c r="E389" t="s">
        <v>299</v>
      </c>
      <c r="F389" t="s">
        <v>1447</v>
      </c>
      <c r="G389" t="s">
        <v>139</v>
      </c>
      <c r="H389" t="s">
        <v>1776</v>
      </c>
    </row>
    <row r="390" spans="1:8" x14ac:dyDescent="0.35">
      <c r="A390" t="s">
        <v>1777</v>
      </c>
      <c r="B390" t="str">
        <f>"9780804782548"</f>
        <v>9780804782548</v>
      </c>
      <c r="C390" t="s">
        <v>1778</v>
      </c>
      <c r="D390" t="s">
        <v>1779</v>
      </c>
      <c r="E390" t="s">
        <v>680</v>
      </c>
      <c r="G390" t="s">
        <v>197</v>
      </c>
      <c r="H390" t="s">
        <v>1780</v>
      </c>
    </row>
    <row r="391" spans="1:8" x14ac:dyDescent="0.35">
      <c r="A391" t="s">
        <v>1781</v>
      </c>
      <c r="B391" t="str">
        <f>"9780520952256"</f>
        <v>9780520952256</v>
      </c>
      <c r="C391" t="s">
        <v>1782</v>
      </c>
      <c r="D391" t="s">
        <v>1783</v>
      </c>
      <c r="E391" t="s">
        <v>69</v>
      </c>
      <c r="G391" t="s">
        <v>208</v>
      </c>
      <c r="H391" t="s">
        <v>1784</v>
      </c>
    </row>
    <row r="392" spans="1:8" x14ac:dyDescent="0.35">
      <c r="A392" t="s">
        <v>1785</v>
      </c>
      <c r="B392" t="str">
        <f>"9780813042695"</f>
        <v>9780813042695</v>
      </c>
      <c r="C392" t="s">
        <v>1786</v>
      </c>
      <c r="D392" t="s">
        <v>1787</v>
      </c>
      <c r="E392" t="s">
        <v>1788</v>
      </c>
      <c r="G392" t="s">
        <v>83</v>
      </c>
      <c r="H392" t="s">
        <v>1789</v>
      </c>
    </row>
    <row r="393" spans="1:8" x14ac:dyDescent="0.35">
      <c r="A393" t="s">
        <v>1790</v>
      </c>
      <c r="B393" t="str">
        <f>"9781139419567"</f>
        <v>9781139419567</v>
      </c>
      <c r="C393" t="s">
        <v>1791</v>
      </c>
      <c r="D393" t="s">
        <v>1792</v>
      </c>
      <c r="E393" t="s">
        <v>304</v>
      </c>
      <c r="F393" t="s">
        <v>1793</v>
      </c>
      <c r="G393" t="s">
        <v>60</v>
      </c>
      <c r="H393" t="s">
        <v>1794</v>
      </c>
    </row>
    <row r="394" spans="1:8" x14ac:dyDescent="0.35">
      <c r="A394" t="s">
        <v>1795</v>
      </c>
      <c r="B394" t="str">
        <f>"9780231512572"</f>
        <v>9780231512572</v>
      </c>
      <c r="C394" t="s">
        <v>1796</v>
      </c>
      <c r="D394" t="s">
        <v>1797</v>
      </c>
      <c r="E394" t="s">
        <v>1755</v>
      </c>
      <c r="G394" t="s">
        <v>55</v>
      </c>
      <c r="H394" t="s">
        <v>1798</v>
      </c>
    </row>
    <row r="395" spans="1:8" x14ac:dyDescent="0.35">
      <c r="A395" t="s">
        <v>1799</v>
      </c>
      <c r="B395" t="str">
        <f>"9780231508964"</f>
        <v>9780231508964</v>
      </c>
      <c r="C395" t="s">
        <v>1800</v>
      </c>
      <c r="D395" t="s">
        <v>1801</v>
      </c>
      <c r="E395" t="s">
        <v>1755</v>
      </c>
      <c r="F395" t="s">
        <v>1802</v>
      </c>
      <c r="G395" t="s">
        <v>186</v>
      </c>
      <c r="H395" t="s">
        <v>1803</v>
      </c>
    </row>
    <row r="396" spans="1:8" x14ac:dyDescent="0.35">
      <c r="A396" t="s">
        <v>1804</v>
      </c>
      <c r="B396" t="str">
        <f>"9781579225391"</f>
        <v>9781579225391</v>
      </c>
      <c r="C396" t="s">
        <v>1805</v>
      </c>
      <c r="D396" t="s">
        <v>1806</v>
      </c>
      <c r="E396" t="s">
        <v>1807</v>
      </c>
      <c r="F396" t="s">
        <v>1808</v>
      </c>
      <c r="G396" t="s">
        <v>17</v>
      </c>
      <c r="H396" t="s">
        <v>1809</v>
      </c>
    </row>
    <row r="397" spans="1:8" x14ac:dyDescent="0.35">
      <c r="A397" t="s">
        <v>1810</v>
      </c>
      <c r="B397" t="str">
        <f>"9780804771306"</f>
        <v>9780804771306</v>
      </c>
      <c r="C397" t="s">
        <v>1811</v>
      </c>
      <c r="D397" t="s">
        <v>1812</v>
      </c>
      <c r="E397" t="s">
        <v>680</v>
      </c>
      <c r="G397" t="s">
        <v>44</v>
      </c>
      <c r="H397" t="s">
        <v>1813</v>
      </c>
    </row>
    <row r="398" spans="1:8" x14ac:dyDescent="0.35">
      <c r="A398" t="s">
        <v>1814</v>
      </c>
      <c r="B398" t="str">
        <f>"9780857286536"</f>
        <v>9780857286536</v>
      </c>
      <c r="C398" t="s">
        <v>1815</v>
      </c>
      <c r="D398" t="s">
        <v>1816</v>
      </c>
      <c r="E398" t="s">
        <v>1536</v>
      </c>
      <c r="F398" t="s">
        <v>1817</v>
      </c>
      <c r="G398" t="s">
        <v>17</v>
      </c>
      <c r="H398" t="s">
        <v>1818</v>
      </c>
    </row>
    <row r="399" spans="1:8" x14ac:dyDescent="0.35">
      <c r="A399" t="s">
        <v>1819</v>
      </c>
      <c r="B399" t="str">
        <f>"9780226649214"</f>
        <v>9780226649214</v>
      </c>
      <c r="C399" t="s">
        <v>1820</v>
      </c>
      <c r="D399" t="s">
        <v>1821</v>
      </c>
      <c r="E399" t="s">
        <v>381</v>
      </c>
      <c r="G399" t="s">
        <v>1822</v>
      </c>
      <c r="H399" t="s">
        <v>1823</v>
      </c>
    </row>
    <row r="400" spans="1:8" x14ac:dyDescent="0.35">
      <c r="A400" t="s">
        <v>1824</v>
      </c>
      <c r="B400" t="str">
        <f>"9780803262744"</f>
        <v>9780803262744</v>
      </c>
      <c r="C400" t="s">
        <v>1825</v>
      </c>
      <c r="D400" t="s">
        <v>1826</v>
      </c>
      <c r="E400" t="s">
        <v>1827</v>
      </c>
      <c r="F400" t="s">
        <v>1828</v>
      </c>
      <c r="G400" t="s">
        <v>55</v>
      </c>
      <c r="H400" t="s">
        <v>1829</v>
      </c>
    </row>
    <row r="401" spans="1:8" x14ac:dyDescent="0.35">
      <c r="A401" t="s">
        <v>1830</v>
      </c>
      <c r="B401" t="str">
        <f>"9780803262751"</f>
        <v>9780803262751</v>
      </c>
      <c r="C401" t="s">
        <v>1831</v>
      </c>
      <c r="D401" t="s">
        <v>1832</v>
      </c>
      <c r="E401" t="s">
        <v>1191</v>
      </c>
      <c r="F401" t="s">
        <v>1833</v>
      </c>
      <c r="G401" t="s">
        <v>1834</v>
      </c>
      <c r="H401" t="s">
        <v>1835</v>
      </c>
    </row>
    <row r="402" spans="1:8" x14ac:dyDescent="0.35">
      <c r="A402" t="s">
        <v>1836</v>
      </c>
      <c r="B402" t="str">
        <f>"9780857453723"</f>
        <v>9780857453723</v>
      </c>
      <c r="C402" t="s">
        <v>1837</v>
      </c>
      <c r="D402" t="s">
        <v>1838</v>
      </c>
      <c r="E402" t="s">
        <v>1398</v>
      </c>
      <c r="F402" t="s">
        <v>1839</v>
      </c>
      <c r="G402" t="s">
        <v>39</v>
      </c>
      <c r="H402" t="s">
        <v>1840</v>
      </c>
    </row>
    <row r="403" spans="1:8" x14ac:dyDescent="0.35">
      <c r="A403" t="s">
        <v>1841</v>
      </c>
      <c r="B403" t="str">
        <f>"9780803240339"</f>
        <v>9780803240339</v>
      </c>
      <c r="C403" t="s">
        <v>1842</v>
      </c>
      <c r="D403" t="s">
        <v>1843</v>
      </c>
      <c r="E403" t="s">
        <v>1191</v>
      </c>
      <c r="F403" t="s">
        <v>576</v>
      </c>
      <c r="G403" t="s">
        <v>44</v>
      </c>
      <c r="H403" t="s">
        <v>1844</v>
      </c>
    </row>
    <row r="404" spans="1:8" x14ac:dyDescent="0.35">
      <c r="A404" t="s">
        <v>1845</v>
      </c>
      <c r="B404" t="str">
        <f>"9780803240803"</f>
        <v>9780803240803</v>
      </c>
      <c r="C404" t="s">
        <v>1846</v>
      </c>
      <c r="D404" t="s">
        <v>1013</v>
      </c>
      <c r="E404" t="s">
        <v>1827</v>
      </c>
      <c r="F404" t="s">
        <v>576</v>
      </c>
      <c r="G404" t="s">
        <v>44</v>
      </c>
      <c r="H404" t="s">
        <v>1847</v>
      </c>
    </row>
    <row r="405" spans="1:8" x14ac:dyDescent="0.35">
      <c r="A405" t="s">
        <v>1848</v>
      </c>
      <c r="B405" t="str">
        <f>"9780857453341"</f>
        <v>9780857453341</v>
      </c>
      <c r="C405" t="s">
        <v>1849</v>
      </c>
      <c r="D405" t="s">
        <v>1850</v>
      </c>
      <c r="E405" t="s">
        <v>1398</v>
      </c>
      <c r="F405" t="s">
        <v>1839</v>
      </c>
      <c r="G405" t="s">
        <v>39</v>
      </c>
      <c r="H405" t="s">
        <v>1851</v>
      </c>
    </row>
    <row r="406" spans="1:8" x14ac:dyDescent="0.35">
      <c r="A406" t="s">
        <v>1852</v>
      </c>
      <c r="B406" t="str">
        <f>"9780520945838"</f>
        <v>9780520945838</v>
      </c>
      <c r="C406" t="s">
        <v>1853</v>
      </c>
      <c r="D406" t="s">
        <v>1854</v>
      </c>
      <c r="E406" t="s">
        <v>69</v>
      </c>
      <c r="G406" t="s">
        <v>133</v>
      </c>
      <c r="H406" t="s">
        <v>1855</v>
      </c>
    </row>
    <row r="407" spans="1:8" x14ac:dyDescent="0.35">
      <c r="A407" t="s">
        <v>1856</v>
      </c>
      <c r="B407" t="str">
        <f>"9780253005724"</f>
        <v>9780253005724</v>
      </c>
      <c r="C407" t="s">
        <v>1857</v>
      </c>
      <c r="D407" t="s">
        <v>1858</v>
      </c>
      <c r="E407" t="s">
        <v>151</v>
      </c>
      <c r="F407" t="s">
        <v>1859</v>
      </c>
      <c r="G407" t="s">
        <v>139</v>
      </c>
      <c r="H407" t="s">
        <v>1860</v>
      </c>
    </row>
    <row r="408" spans="1:8" x14ac:dyDescent="0.35">
      <c r="A408" t="s">
        <v>1861</v>
      </c>
      <c r="B408" t="str">
        <f>"9780813043548"</f>
        <v>9780813043548</v>
      </c>
      <c r="C408" t="s">
        <v>1862</v>
      </c>
      <c r="D408" t="s">
        <v>1863</v>
      </c>
      <c r="E408" t="s">
        <v>1788</v>
      </c>
      <c r="F408" t="s">
        <v>1864</v>
      </c>
      <c r="G408" t="s">
        <v>83</v>
      </c>
      <c r="H408" t="s">
        <v>1865</v>
      </c>
    </row>
    <row r="409" spans="1:8" x14ac:dyDescent="0.35">
      <c r="A409" t="s">
        <v>1866</v>
      </c>
      <c r="B409" t="str">
        <f>"9780803241725"</f>
        <v>9780803241725</v>
      </c>
      <c r="C409" t="s">
        <v>1867</v>
      </c>
      <c r="D409" t="s">
        <v>1868</v>
      </c>
      <c r="E409" t="s">
        <v>1191</v>
      </c>
      <c r="F409" t="s">
        <v>1869</v>
      </c>
      <c r="G409" t="s">
        <v>55</v>
      </c>
      <c r="H409" t="s">
        <v>1870</v>
      </c>
    </row>
    <row r="410" spans="1:8" x14ac:dyDescent="0.35">
      <c r="A410" t="s">
        <v>1871</v>
      </c>
      <c r="B410" t="str">
        <f>"9780739137802"</f>
        <v>9780739137802</v>
      </c>
      <c r="C410" t="s">
        <v>1872</v>
      </c>
      <c r="D410" t="s">
        <v>1873</v>
      </c>
      <c r="E410" t="s">
        <v>518</v>
      </c>
      <c r="G410" t="s">
        <v>1874</v>
      </c>
      <c r="H410" t="s">
        <v>1875</v>
      </c>
    </row>
    <row r="411" spans="1:8" x14ac:dyDescent="0.35">
      <c r="A411" t="s">
        <v>1876</v>
      </c>
      <c r="B411" t="str">
        <f>"9780813553344"</f>
        <v>9780813553344</v>
      </c>
      <c r="C411" t="s">
        <v>1877</v>
      </c>
      <c r="D411" t="s">
        <v>1878</v>
      </c>
      <c r="E411" t="s">
        <v>299</v>
      </c>
      <c r="F411" t="s">
        <v>1447</v>
      </c>
      <c r="G411" t="s">
        <v>83</v>
      </c>
      <c r="H411" t="s">
        <v>1879</v>
      </c>
    </row>
    <row r="412" spans="1:8" x14ac:dyDescent="0.35">
      <c r="A412" t="s">
        <v>1880</v>
      </c>
      <c r="B412" t="str">
        <f>"9781848138889"</f>
        <v>9781848138889</v>
      </c>
      <c r="C412" t="s">
        <v>1881</v>
      </c>
      <c r="D412" t="s">
        <v>1882</v>
      </c>
      <c r="E412" t="s">
        <v>694</v>
      </c>
      <c r="G412" t="s">
        <v>1883</v>
      </c>
      <c r="H412" t="s">
        <v>1884</v>
      </c>
    </row>
    <row r="413" spans="1:8" x14ac:dyDescent="0.35">
      <c r="A413" t="s">
        <v>1885</v>
      </c>
      <c r="B413" t="str">
        <f>"9781469606545"</f>
        <v>9781469606545</v>
      </c>
      <c r="C413" t="s">
        <v>1886</v>
      </c>
      <c r="D413" t="s">
        <v>1887</v>
      </c>
      <c r="E413" t="s">
        <v>1888</v>
      </c>
      <c r="G413" t="s">
        <v>376</v>
      </c>
      <c r="H413" t="s">
        <v>1889</v>
      </c>
    </row>
    <row r="414" spans="1:8" x14ac:dyDescent="0.35">
      <c r="A414" t="s">
        <v>1890</v>
      </c>
      <c r="B414" t="str">
        <f>"9780520951341"</f>
        <v>9780520951341</v>
      </c>
      <c r="C414" t="s">
        <v>1891</v>
      </c>
      <c r="D414" t="s">
        <v>1892</v>
      </c>
      <c r="E414" t="s">
        <v>69</v>
      </c>
      <c r="G414" t="s">
        <v>83</v>
      </c>
      <c r="H414" t="s">
        <v>1893</v>
      </c>
    </row>
    <row r="415" spans="1:8" x14ac:dyDescent="0.35">
      <c r="A415" t="s">
        <v>1894</v>
      </c>
      <c r="B415" t="str">
        <f>"9780804783200"</f>
        <v>9780804783200</v>
      </c>
      <c r="C415" t="s">
        <v>1895</v>
      </c>
      <c r="D415" t="s">
        <v>1896</v>
      </c>
      <c r="E415" t="s">
        <v>680</v>
      </c>
      <c r="G415" t="s">
        <v>376</v>
      </c>
      <c r="H415" t="s">
        <v>1897</v>
      </c>
    </row>
    <row r="416" spans="1:8" x14ac:dyDescent="0.35">
      <c r="A416" t="s">
        <v>1898</v>
      </c>
      <c r="B416" t="str">
        <f>"9781139514743"</f>
        <v>9781139514743</v>
      </c>
      <c r="C416" t="s">
        <v>1899</v>
      </c>
      <c r="D416" t="s">
        <v>1900</v>
      </c>
      <c r="E416" t="s">
        <v>304</v>
      </c>
      <c r="F416" t="s">
        <v>1901</v>
      </c>
      <c r="G416" t="s">
        <v>197</v>
      </c>
      <c r="H416" t="s">
        <v>1902</v>
      </c>
    </row>
    <row r="417" spans="1:8" x14ac:dyDescent="0.35">
      <c r="A417" t="s">
        <v>1903</v>
      </c>
      <c r="B417" t="str">
        <f>"9780821395462"</f>
        <v>9780821395462</v>
      </c>
      <c r="C417" t="s">
        <v>1904</v>
      </c>
      <c r="D417" t="s">
        <v>1905</v>
      </c>
      <c r="E417" t="s">
        <v>481</v>
      </c>
      <c r="F417" t="s">
        <v>1906</v>
      </c>
      <c r="G417" t="s">
        <v>376</v>
      </c>
      <c r="H417" t="s">
        <v>1907</v>
      </c>
    </row>
    <row r="418" spans="1:8" x14ac:dyDescent="0.35">
      <c r="A418" t="s">
        <v>1908</v>
      </c>
      <c r="B418" t="str">
        <f>"9780821395783"</f>
        <v>9780821395783</v>
      </c>
      <c r="C418" t="s">
        <v>1909</v>
      </c>
      <c r="D418" t="s">
        <v>1910</v>
      </c>
      <c r="E418" t="s">
        <v>481</v>
      </c>
      <c r="F418" t="s">
        <v>624</v>
      </c>
      <c r="G418" t="s">
        <v>17</v>
      </c>
      <c r="H418" t="s">
        <v>1911</v>
      </c>
    </row>
    <row r="419" spans="1:8" x14ac:dyDescent="0.35">
      <c r="A419" t="s">
        <v>1912</v>
      </c>
      <c r="B419" t="str">
        <f>"9780810885059"</f>
        <v>9780810885059</v>
      </c>
      <c r="C419" t="s">
        <v>1913</v>
      </c>
      <c r="D419" t="s">
        <v>1914</v>
      </c>
      <c r="E419" t="s">
        <v>530</v>
      </c>
      <c r="G419" t="s">
        <v>139</v>
      </c>
      <c r="H419" t="s">
        <v>1915</v>
      </c>
    </row>
    <row r="420" spans="1:8" x14ac:dyDescent="0.35">
      <c r="A420" t="s">
        <v>1916</v>
      </c>
      <c r="B420" t="str">
        <f>"9780203127285"</f>
        <v>9780203127285</v>
      </c>
      <c r="C420" t="s">
        <v>1917</v>
      </c>
      <c r="D420" t="s">
        <v>1918</v>
      </c>
      <c r="E420" t="s">
        <v>11</v>
      </c>
      <c r="F420" t="s">
        <v>1919</v>
      </c>
      <c r="G420" t="s">
        <v>376</v>
      </c>
      <c r="H420" t="s">
        <v>1920</v>
      </c>
    </row>
    <row r="421" spans="1:8" x14ac:dyDescent="0.35">
      <c r="A421" t="s">
        <v>1921</v>
      </c>
      <c r="B421" t="str">
        <f>"9780203117828"</f>
        <v>9780203117828</v>
      </c>
      <c r="C421" t="s">
        <v>1922</v>
      </c>
      <c r="D421" t="s">
        <v>1923</v>
      </c>
      <c r="E421" t="s">
        <v>11</v>
      </c>
      <c r="G421" t="s">
        <v>376</v>
      </c>
      <c r="H421" t="s">
        <v>1924</v>
      </c>
    </row>
    <row r="422" spans="1:8" x14ac:dyDescent="0.35">
      <c r="A422" t="s">
        <v>1925</v>
      </c>
      <c r="B422" t="str">
        <f>"9780203123881"</f>
        <v>9780203123881</v>
      </c>
      <c r="C422" t="s">
        <v>1926</v>
      </c>
      <c r="D422" t="s">
        <v>1927</v>
      </c>
      <c r="E422" t="s">
        <v>11</v>
      </c>
      <c r="F422" t="s">
        <v>1928</v>
      </c>
      <c r="G422" t="s">
        <v>146</v>
      </c>
      <c r="H422" t="s">
        <v>1929</v>
      </c>
    </row>
    <row r="423" spans="1:8" x14ac:dyDescent="0.35">
      <c r="A423" t="s">
        <v>1930</v>
      </c>
      <c r="B423" t="str">
        <f>"9781136579264"</f>
        <v>9781136579264</v>
      </c>
      <c r="C423" t="s">
        <v>1931</v>
      </c>
      <c r="D423" t="s">
        <v>1932</v>
      </c>
      <c r="E423" t="s">
        <v>11</v>
      </c>
      <c r="G423" t="s">
        <v>1116</v>
      </c>
      <c r="H423" t="s">
        <v>1933</v>
      </c>
    </row>
    <row r="424" spans="1:8" x14ac:dyDescent="0.35">
      <c r="A424" t="s">
        <v>1934</v>
      </c>
      <c r="B424" t="str">
        <f>"9780203144633"</f>
        <v>9780203144633</v>
      </c>
      <c r="C424" t="s">
        <v>1935</v>
      </c>
      <c r="D424" t="s">
        <v>1936</v>
      </c>
      <c r="E424" t="s">
        <v>11</v>
      </c>
      <c r="F424" t="s">
        <v>1937</v>
      </c>
      <c r="G424" t="s">
        <v>17</v>
      </c>
      <c r="H424" t="s">
        <v>1938</v>
      </c>
    </row>
    <row r="425" spans="1:8" x14ac:dyDescent="0.35">
      <c r="A425" t="s">
        <v>1939</v>
      </c>
      <c r="B425" t="str">
        <f>"9780203804186"</f>
        <v>9780203804186</v>
      </c>
      <c r="C425" t="s">
        <v>1940</v>
      </c>
      <c r="D425" t="s">
        <v>1941</v>
      </c>
      <c r="E425" t="s">
        <v>11</v>
      </c>
      <c r="G425" t="s">
        <v>39</v>
      </c>
      <c r="H425" t="s">
        <v>1942</v>
      </c>
    </row>
    <row r="426" spans="1:8" x14ac:dyDescent="0.35">
      <c r="A426" t="s">
        <v>1943</v>
      </c>
      <c r="B426" t="str">
        <f>"9780203807507"</f>
        <v>9780203807507</v>
      </c>
      <c r="C426" t="s">
        <v>1944</v>
      </c>
      <c r="D426" t="s">
        <v>1945</v>
      </c>
      <c r="E426" t="s">
        <v>11</v>
      </c>
      <c r="F426" t="s">
        <v>1223</v>
      </c>
      <c r="G426" t="s">
        <v>60</v>
      </c>
      <c r="H426" t="s">
        <v>1946</v>
      </c>
    </row>
    <row r="427" spans="1:8" x14ac:dyDescent="0.35">
      <c r="A427" t="s">
        <v>1947</v>
      </c>
      <c r="B427" t="str">
        <f>"9780203800478"</f>
        <v>9780203800478</v>
      </c>
      <c r="C427" t="s">
        <v>1948</v>
      </c>
      <c r="D427" t="s">
        <v>1949</v>
      </c>
      <c r="E427" t="s">
        <v>11</v>
      </c>
      <c r="F427" t="s">
        <v>1950</v>
      </c>
      <c r="G427" t="s">
        <v>186</v>
      </c>
      <c r="H427" t="s">
        <v>1951</v>
      </c>
    </row>
    <row r="428" spans="1:8" x14ac:dyDescent="0.35">
      <c r="A428" t="s">
        <v>1952</v>
      </c>
      <c r="B428" t="str">
        <f>"9781139530460"</f>
        <v>9781139530460</v>
      </c>
      <c r="C428" t="s">
        <v>1953</v>
      </c>
      <c r="D428" t="s">
        <v>1954</v>
      </c>
      <c r="E428" t="s">
        <v>304</v>
      </c>
      <c r="G428" t="s">
        <v>44</v>
      </c>
      <c r="H428" t="s">
        <v>1955</v>
      </c>
    </row>
    <row r="429" spans="1:8" x14ac:dyDescent="0.35">
      <c r="A429" t="s">
        <v>1956</v>
      </c>
      <c r="B429" t="str">
        <f>"9780520953789"</f>
        <v>9780520953789</v>
      </c>
      <c r="C429" t="s">
        <v>1957</v>
      </c>
      <c r="D429" t="s">
        <v>1958</v>
      </c>
      <c r="E429" t="s">
        <v>69</v>
      </c>
      <c r="F429" t="s">
        <v>1959</v>
      </c>
      <c r="G429" t="s">
        <v>55</v>
      </c>
      <c r="H429" t="s">
        <v>1960</v>
      </c>
    </row>
    <row r="430" spans="1:8" x14ac:dyDescent="0.35">
      <c r="A430" t="s">
        <v>1961</v>
      </c>
      <c r="B430" t="str">
        <f>"9789401207836"</f>
        <v>9789401207836</v>
      </c>
      <c r="C430" t="s">
        <v>1962</v>
      </c>
      <c r="D430" t="s">
        <v>1963</v>
      </c>
      <c r="E430" t="s">
        <v>540</v>
      </c>
      <c r="F430" t="s">
        <v>1964</v>
      </c>
      <c r="G430" t="s">
        <v>83</v>
      </c>
      <c r="H430" t="s">
        <v>1965</v>
      </c>
    </row>
    <row r="431" spans="1:8" x14ac:dyDescent="0.35">
      <c r="A431" t="s">
        <v>1966</v>
      </c>
      <c r="B431" t="str">
        <f>"9780804783163"</f>
        <v>9780804783163</v>
      </c>
      <c r="C431" t="s">
        <v>1967</v>
      </c>
      <c r="D431" t="s">
        <v>1968</v>
      </c>
      <c r="E431" t="s">
        <v>680</v>
      </c>
      <c r="G431" t="s">
        <v>44</v>
      </c>
      <c r="H431" t="s">
        <v>1969</v>
      </c>
    </row>
    <row r="432" spans="1:8" x14ac:dyDescent="0.35">
      <c r="A432" t="s">
        <v>1970</v>
      </c>
      <c r="B432" t="str">
        <f>"9780203805787"</f>
        <v>9780203805787</v>
      </c>
      <c r="C432" t="s">
        <v>1971</v>
      </c>
      <c r="D432" t="s">
        <v>1972</v>
      </c>
      <c r="E432" t="s">
        <v>11</v>
      </c>
      <c r="G432" t="s">
        <v>39</v>
      </c>
      <c r="H432" t="s">
        <v>1973</v>
      </c>
    </row>
    <row r="433" spans="1:8" x14ac:dyDescent="0.35">
      <c r="A433" t="s">
        <v>1974</v>
      </c>
      <c r="B433" t="str">
        <f>"9780803271449"</f>
        <v>9780803271449</v>
      </c>
      <c r="C433" t="s">
        <v>1975</v>
      </c>
      <c r="D433" t="s">
        <v>1976</v>
      </c>
      <c r="E433" t="s">
        <v>1827</v>
      </c>
      <c r="F433" t="s">
        <v>1742</v>
      </c>
      <c r="G433" t="s">
        <v>146</v>
      </c>
      <c r="H433" t="s">
        <v>1977</v>
      </c>
    </row>
    <row r="434" spans="1:8" x14ac:dyDescent="0.35">
      <c r="A434" t="s">
        <v>1978</v>
      </c>
      <c r="B434" t="str">
        <f>"9781136290152"</f>
        <v>9781136290152</v>
      </c>
      <c r="C434" t="s">
        <v>1979</v>
      </c>
      <c r="D434" t="s">
        <v>1980</v>
      </c>
      <c r="E434" t="s">
        <v>11</v>
      </c>
      <c r="F434" t="s">
        <v>894</v>
      </c>
      <c r="G434" t="s">
        <v>17</v>
      </c>
      <c r="H434" t="s">
        <v>1981</v>
      </c>
    </row>
    <row r="435" spans="1:8" x14ac:dyDescent="0.35">
      <c r="A435" t="s">
        <v>1982</v>
      </c>
      <c r="B435" t="str">
        <f>"9781136329555"</f>
        <v>9781136329555</v>
      </c>
      <c r="C435" t="s">
        <v>1983</v>
      </c>
      <c r="D435" t="s">
        <v>1984</v>
      </c>
      <c r="E435" t="s">
        <v>11</v>
      </c>
      <c r="F435" t="s">
        <v>1985</v>
      </c>
      <c r="G435" t="s">
        <v>1986</v>
      </c>
      <c r="H435" t="s">
        <v>1987</v>
      </c>
    </row>
    <row r="436" spans="1:8" x14ac:dyDescent="0.35">
      <c r="A436" t="s">
        <v>1988</v>
      </c>
      <c r="B436" t="str">
        <f>"9781136635434"</f>
        <v>9781136635434</v>
      </c>
      <c r="C436" t="s">
        <v>1989</v>
      </c>
      <c r="D436" t="s">
        <v>1990</v>
      </c>
      <c r="E436" t="s">
        <v>11</v>
      </c>
      <c r="F436" t="s">
        <v>1991</v>
      </c>
      <c r="G436" t="s">
        <v>146</v>
      </c>
      <c r="H436" t="s">
        <v>1992</v>
      </c>
    </row>
    <row r="437" spans="1:8" x14ac:dyDescent="0.35">
      <c r="A437" t="s">
        <v>1993</v>
      </c>
      <c r="B437" t="str">
        <f>"9780857457486"</f>
        <v>9780857457486</v>
      </c>
      <c r="C437" t="s">
        <v>1994</v>
      </c>
      <c r="D437" t="s">
        <v>1995</v>
      </c>
      <c r="E437" t="s">
        <v>1398</v>
      </c>
      <c r="F437" t="s">
        <v>1839</v>
      </c>
      <c r="G437" t="s">
        <v>726</v>
      </c>
      <c r="H437" t="s">
        <v>1996</v>
      </c>
    </row>
    <row r="438" spans="1:8" x14ac:dyDescent="0.35">
      <c r="A438" t="s">
        <v>1997</v>
      </c>
      <c r="B438" t="str">
        <f>"9781409434993"</f>
        <v>9781409434993</v>
      </c>
      <c r="C438" t="s">
        <v>1998</v>
      </c>
      <c r="D438" t="s">
        <v>1999</v>
      </c>
      <c r="E438" t="s">
        <v>11</v>
      </c>
      <c r="G438" t="s">
        <v>1116</v>
      </c>
      <c r="H438" t="s">
        <v>2000</v>
      </c>
    </row>
    <row r="439" spans="1:8" x14ac:dyDescent="0.35">
      <c r="A439" t="s">
        <v>2001</v>
      </c>
      <c r="B439" t="str">
        <f>"9781136494543"</f>
        <v>9781136494543</v>
      </c>
      <c r="C439" t="s">
        <v>2002</v>
      </c>
      <c r="D439" t="s">
        <v>2003</v>
      </c>
      <c r="E439" t="s">
        <v>11</v>
      </c>
      <c r="F439" t="s">
        <v>2004</v>
      </c>
      <c r="G439" t="s">
        <v>305</v>
      </c>
      <c r="H439" t="s">
        <v>2005</v>
      </c>
    </row>
    <row r="440" spans="1:8" x14ac:dyDescent="0.35">
      <c r="A440" t="s">
        <v>2006</v>
      </c>
      <c r="B440" t="str">
        <f>"9781136854903"</f>
        <v>9781136854903</v>
      </c>
      <c r="C440" t="s">
        <v>2007</v>
      </c>
      <c r="D440" t="s">
        <v>2008</v>
      </c>
      <c r="E440" t="s">
        <v>11</v>
      </c>
      <c r="F440" t="s">
        <v>894</v>
      </c>
      <c r="G440" t="s">
        <v>17</v>
      </c>
      <c r="H440" t="s">
        <v>2009</v>
      </c>
    </row>
    <row r="441" spans="1:8" x14ac:dyDescent="0.35">
      <c r="A441" t="s">
        <v>2010</v>
      </c>
      <c r="B441" t="str">
        <f>"9780739141243"</f>
        <v>9780739141243</v>
      </c>
      <c r="C441" t="s">
        <v>2011</v>
      </c>
      <c r="D441" t="s">
        <v>2012</v>
      </c>
      <c r="E441" t="s">
        <v>518</v>
      </c>
      <c r="G441" t="s">
        <v>39</v>
      </c>
      <c r="H441" t="s">
        <v>2013</v>
      </c>
    </row>
    <row r="442" spans="1:8" x14ac:dyDescent="0.35">
      <c r="A442" t="s">
        <v>2014</v>
      </c>
      <c r="B442" t="str">
        <f>"9780813550343"</f>
        <v>9780813550343</v>
      </c>
      <c r="C442" t="s">
        <v>2015</v>
      </c>
      <c r="D442" t="s">
        <v>2016</v>
      </c>
      <c r="E442" t="s">
        <v>299</v>
      </c>
      <c r="G442" t="s">
        <v>186</v>
      </c>
      <c r="H442" t="s">
        <v>2017</v>
      </c>
    </row>
    <row r="443" spans="1:8" x14ac:dyDescent="0.35">
      <c r="A443" t="s">
        <v>2018</v>
      </c>
      <c r="B443" t="str">
        <f>"9781139554329"</f>
        <v>9781139554329</v>
      </c>
      <c r="C443" t="s">
        <v>2019</v>
      </c>
      <c r="D443" t="s">
        <v>2020</v>
      </c>
      <c r="E443" t="s">
        <v>304</v>
      </c>
      <c r="G443" t="s">
        <v>1634</v>
      </c>
      <c r="H443" t="s">
        <v>2021</v>
      </c>
    </row>
    <row r="444" spans="1:8" x14ac:dyDescent="0.35">
      <c r="A444" t="s">
        <v>2022</v>
      </c>
      <c r="B444" t="str">
        <f>"9781442214170"</f>
        <v>9781442214170</v>
      </c>
      <c r="C444" t="s">
        <v>2023</v>
      </c>
      <c r="D444" t="s">
        <v>2024</v>
      </c>
      <c r="E444" t="s">
        <v>524</v>
      </c>
      <c r="G444" t="s">
        <v>305</v>
      </c>
      <c r="H444" t="s">
        <v>2025</v>
      </c>
    </row>
    <row r="445" spans="1:8" x14ac:dyDescent="0.35">
      <c r="A445" t="s">
        <v>2026</v>
      </c>
      <c r="B445" t="str">
        <f>"9780739170991"</f>
        <v>9780739170991</v>
      </c>
      <c r="C445" t="s">
        <v>2027</v>
      </c>
      <c r="D445" t="s">
        <v>2028</v>
      </c>
      <c r="E445" t="s">
        <v>518</v>
      </c>
      <c r="G445" t="s">
        <v>83</v>
      </c>
      <c r="H445" t="s">
        <v>2029</v>
      </c>
    </row>
    <row r="446" spans="1:8" x14ac:dyDescent="0.35">
      <c r="A446" t="s">
        <v>2030</v>
      </c>
      <c r="B446" t="str">
        <f>"9780813043593"</f>
        <v>9780813043593</v>
      </c>
      <c r="C446" t="s">
        <v>2031</v>
      </c>
      <c r="D446" t="s">
        <v>2032</v>
      </c>
      <c r="E446" t="s">
        <v>1788</v>
      </c>
      <c r="G446" t="s">
        <v>282</v>
      </c>
      <c r="H446" t="s">
        <v>2033</v>
      </c>
    </row>
    <row r="447" spans="1:8" x14ac:dyDescent="0.35">
      <c r="A447" t="s">
        <v>2034</v>
      </c>
      <c r="B447" t="str">
        <f>"9780813043173"</f>
        <v>9780813043173</v>
      </c>
      <c r="C447" t="s">
        <v>2035</v>
      </c>
      <c r="D447" t="s">
        <v>2036</v>
      </c>
      <c r="E447" t="s">
        <v>1788</v>
      </c>
      <c r="G447" t="s">
        <v>44</v>
      </c>
      <c r="H447" t="s">
        <v>2037</v>
      </c>
    </row>
    <row r="448" spans="1:8" x14ac:dyDescent="0.35">
      <c r="A448" t="s">
        <v>2038</v>
      </c>
      <c r="B448" t="str">
        <f>"9781136895203"</f>
        <v>9781136895203</v>
      </c>
      <c r="C448" t="s">
        <v>2039</v>
      </c>
      <c r="D448" t="s">
        <v>2040</v>
      </c>
      <c r="E448" t="s">
        <v>11</v>
      </c>
      <c r="F448" t="s">
        <v>2041</v>
      </c>
      <c r="G448" t="s">
        <v>2042</v>
      </c>
      <c r="H448" t="s">
        <v>2043</v>
      </c>
    </row>
    <row r="449" spans="1:8" x14ac:dyDescent="0.35">
      <c r="A449" t="s">
        <v>2044</v>
      </c>
      <c r="B449" t="str">
        <f>"9780520954069"</f>
        <v>9780520954069</v>
      </c>
      <c r="C449" t="s">
        <v>2045</v>
      </c>
      <c r="D449" t="s">
        <v>2046</v>
      </c>
      <c r="E449" t="s">
        <v>69</v>
      </c>
      <c r="G449" t="s">
        <v>39</v>
      </c>
      <c r="H449" t="s">
        <v>2047</v>
      </c>
    </row>
    <row r="450" spans="1:8" x14ac:dyDescent="0.35">
      <c r="A450" t="s">
        <v>2048</v>
      </c>
      <c r="B450" t="str">
        <f>"9780804782852"</f>
        <v>9780804782852</v>
      </c>
      <c r="C450" t="s">
        <v>2049</v>
      </c>
      <c r="D450" t="s">
        <v>2050</v>
      </c>
      <c r="E450" t="s">
        <v>680</v>
      </c>
      <c r="F450" t="s">
        <v>2051</v>
      </c>
      <c r="G450" t="s">
        <v>17</v>
      </c>
      <c r="H450" t="s">
        <v>2052</v>
      </c>
    </row>
    <row r="451" spans="1:8" x14ac:dyDescent="0.35">
      <c r="A451" t="s">
        <v>2053</v>
      </c>
      <c r="B451" t="str">
        <f>"9780813548487"</f>
        <v>9780813548487</v>
      </c>
      <c r="C451" t="s">
        <v>2054</v>
      </c>
      <c r="D451" t="s">
        <v>2055</v>
      </c>
      <c r="E451" t="s">
        <v>299</v>
      </c>
      <c r="G451" t="s">
        <v>2056</v>
      </c>
      <c r="H451" t="s">
        <v>2057</v>
      </c>
    </row>
    <row r="452" spans="1:8" x14ac:dyDescent="0.35">
      <c r="A452" t="s">
        <v>2058</v>
      </c>
      <c r="B452" t="str">
        <f>"9780739173299"</f>
        <v>9780739173299</v>
      </c>
      <c r="C452" t="s">
        <v>2059</v>
      </c>
      <c r="D452" t="s">
        <v>2060</v>
      </c>
      <c r="E452" t="s">
        <v>518</v>
      </c>
      <c r="G452" t="s">
        <v>96</v>
      </c>
      <c r="H452" t="s">
        <v>2061</v>
      </c>
    </row>
    <row r="453" spans="1:8" x14ac:dyDescent="0.35">
      <c r="A453" t="s">
        <v>2062</v>
      </c>
      <c r="B453" t="str">
        <f>"9780817386054"</f>
        <v>9780817386054</v>
      </c>
      <c r="C453" t="s">
        <v>2063</v>
      </c>
      <c r="D453" t="s">
        <v>2064</v>
      </c>
      <c r="E453" t="s">
        <v>417</v>
      </c>
      <c r="F453" t="s">
        <v>2065</v>
      </c>
      <c r="G453" t="s">
        <v>133</v>
      </c>
      <c r="H453" t="s">
        <v>2066</v>
      </c>
    </row>
    <row r="454" spans="1:8" x14ac:dyDescent="0.35">
      <c r="A454" t="s">
        <v>2067</v>
      </c>
      <c r="B454" t="str">
        <f>"9780520953598"</f>
        <v>9780520953598</v>
      </c>
      <c r="C454" t="s">
        <v>2068</v>
      </c>
      <c r="D454" t="s">
        <v>2069</v>
      </c>
      <c r="E454" t="s">
        <v>69</v>
      </c>
      <c r="G454" t="s">
        <v>28</v>
      </c>
      <c r="H454" t="s">
        <v>2070</v>
      </c>
    </row>
    <row r="455" spans="1:8" x14ac:dyDescent="0.35">
      <c r="A455" t="s">
        <v>2071</v>
      </c>
      <c r="B455" t="str">
        <f>"9789004210424"</f>
        <v>9789004210424</v>
      </c>
      <c r="C455" t="s">
        <v>2072</v>
      </c>
      <c r="D455" t="s">
        <v>2073</v>
      </c>
      <c r="E455" t="s">
        <v>540</v>
      </c>
      <c r="F455" t="s">
        <v>541</v>
      </c>
      <c r="G455" t="s">
        <v>39</v>
      </c>
      <c r="H455" t="s">
        <v>2074</v>
      </c>
    </row>
    <row r="456" spans="1:8" x14ac:dyDescent="0.35">
      <c r="A456" t="s">
        <v>2075</v>
      </c>
      <c r="B456" t="str">
        <f>"9780804783484"</f>
        <v>9780804783484</v>
      </c>
      <c r="C456" t="s">
        <v>2076</v>
      </c>
      <c r="D456" t="s">
        <v>2077</v>
      </c>
      <c r="E456" t="s">
        <v>680</v>
      </c>
      <c r="G456" t="s">
        <v>1116</v>
      </c>
      <c r="H456" t="s">
        <v>2078</v>
      </c>
    </row>
    <row r="457" spans="1:8" x14ac:dyDescent="0.35">
      <c r="A457" t="s">
        <v>2079</v>
      </c>
      <c r="B457" t="str">
        <f>"9780199908486"</f>
        <v>9780199908486</v>
      </c>
      <c r="C457" t="s">
        <v>2080</v>
      </c>
      <c r="D457" t="s">
        <v>2081</v>
      </c>
      <c r="E457" t="s">
        <v>355</v>
      </c>
      <c r="G457" t="s">
        <v>2082</v>
      </c>
      <c r="H457" t="s">
        <v>2083</v>
      </c>
    </row>
    <row r="458" spans="1:8" x14ac:dyDescent="0.35">
      <c r="A458" t="s">
        <v>2084</v>
      </c>
      <c r="B458" t="str">
        <f>"9780739143933"</f>
        <v>9780739143933</v>
      </c>
      <c r="C458" t="s">
        <v>2085</v>
      </c>
      <c r="D458" t="s">
        <v>2086</v>
      </c>
      <c r="E458" t="s">
        <v>518</v>
      </c>
      <c r="G458" t="s">
        <v>726</v>
      </c>
      <c r="H458" t="s">
        <v>2087</v>
      </c>
    </row>
    <row r="459" spans="1:8" x14ac:dyDescent="0.35">
      <c r="A459" t="s">
        <v>2088</v>
      </c>
      <c r="B459" t="str">
        <f>"9781136316333"</f>
        <v>9781136316333</v>
      </c>
      <c r="C459" t="s">
        <v>2089</v>
      </c>
      <c r="D459" t="s">
        <v>2090</v>
      </c>
      <c r="E459" t="s">
        <v>11</v>
      </c>
      <c r="F459" t="s">
        <v>2091</v>
      </c>
      <c r="G459" t="s">
        <v>2092</v>
      </c>
      <c r="H459" t="s">
        <v>2093</v>
      </c>
    </row>
    <row r="460" spans="1:8" x14ac:dyDescent="0.35">
      <c r="A460" t="s">
        <v>2094</v>
      </c>
      <c r="B460" t="str">
        <f>"9781136501685"</f>
        <v>9781136501685</v>
      </c>
      <c r="C460" t="s">
        <v>2095</v>
      </c>
      <c r="D460" t="s">
        <v>2096</v>
      </c>
      <c r="E460" t="s">
        <v>11</v>
      </c>
      <c r="F460" t="s">
        <v>2097</v>
      </c>
      <c r="G460" t="s">
        <v>96</v>
      </c>
      <c r="H460" t="s">
        <v>2098</v>
      </c>
    </row>
    <row r="461" spans="1:8" x14ac:dyDescent="0.35">
      <c r="A461" t="s">
        <v>2099</v>
      </c>
      <c r="B461" t="str">
        <f>"9780253008770"</f>
        <v>9780253008770</v>
      </c>
      <c r="C461" t="s">
        <v>2100</v>
      </c>
      <c r="D461" t="s">
        <v>2101</v>
      </c>
      <c r="E461" t="s">
        <v>151</v>
      </c>
      <c r="G461" t="s">
        <v>1727</v>
      </c>
      <c r="H461" t="s">
        <v>2102</v>
      </c>
    </row>
    <row r="462" spans="1:8" x14ac:dyDescent="0.35">
      <c r="A462" t="s">
        <v>2103</v>
      </c>
      <c r="B462" t="str">
        <f>"9780813043180"</f>
        <v>9780813043180</v>
      </c>
      <c r="C462" t="s">
        <v>2104</v>
      </c>
      <c r="D462" t="s">
        <v>2105</v>
      </c>
      <c r="E462" t="s">
        <v>1788</v>
      </c>
      <c r="G462" t="s">
        <v>44</v>
      </c>
      <c r="H462" t="s">
        <v>2106</v>
      </c>
    </row>
    <row r="463" spans="1:8" x14ac:dyDescent="0.35">
      <c r="A463" t="s">
        <v>2107</v>
      </c>
      <c r="B463" t="str">
        <f>"9781780320526"</f>
        <v>9781780320526</v>
      </c>
      <c r="C463" t="s">
        <v>2108</v>
      </c>
      <c r="D463" t="s">
        <v>2109</v>
      </c>
      <c r="E463" t="s">
        <v>694</v>
      </c>
      <c r="G463" t="s">
        <v>197</v>
      </c>
      <c r="H463" t="s">
        <v>2110</v>
      </c>
    </row>
    <row r="464" spans="1:8" x14ac:dyDescent="0.35">
      <c r="A464" t="s">
        <v>2111</v>
      </c>
      <c r="B464" t="str">
        <f>"9780821394960"</f>
        <v>9780821394960</v>
      </c>
      <c r="C464" t="s">
        <v>2112</v>
      </c>
      <c r="D464" t="s">
        <v>2113</v>
      </c>
      <c r="E464" t="s">
        <v>481</v>
      </c>
      <c r="G464" t="s">
        <v>39</v>
      </c>
      <c r="H464" t="s">
        <v>2114</v>
      </c>
    </row>
    <row r="465" spans="1:8" x14ac:dyDescent="0.35">
      <c r="A465" t="s">
        <v>2115</v>
      </c>
      <c r="B465" t="str">
        <f>"9780804783910"</f>
        <v>9780804783910</v>
      </c>
      <c r="C465" t="s">
        <v>2116</v>
      </c>
      <c r="D465" t="s">
        <v>2117</v>
      </c>
      <c r="E465" t="s">
        <v>680</v>
      </c>
      <c r="F465" t="s">
        <v>2118</v>
      </c>
      <c r="G465" t="s">
        <v>305</v>
      </c>
      <c r="H465" t="s">
        <v>2119</v>
      </c>
    </row>
    <row r="466" spans="1:8" x14ac:dyDescent="0.35">
      <c r="A466" t="s">
        <v>2120</v>
      </c>
      <c r="B466" t="str">
        <f>"9781611484656"</f>
        <v>9781611484656</v>
      </c>
      <c r="C466" t="s">
        <v>2121</v>
      </c>
      <c r="D466" t="s">
        <v>2122</v>
      </c>
      <c r="E466" t="s">
        <v>1328</v>
      </c>
      <c r="F466" t="s">
        <v>2123</v>
      </c>
      <c r="G466" t="s">
        <v>60</v>
      </c>
      <c r="H466" t="s">
        <v>2124</v>
      </c>
    </row>
    <row r="467" spans="1:8" x14ac:dyDescent="0.35">
      <c r="A467" t="s">
        <v>2125</v>
      </c>
      <c r="B467" t="str">
        <f>"9780742557598"</f>
        <v>9780742557598</v>
      </c>
      <c r="C467" t="s">
        <v>2126</v>
      </c>
      <c r="D467" t="s">
        <v>2127</v>
      </c>
      <c r="E467" t="s">
        <v>524</v>
      </c>
      <c r="F467" t="s">
        <v>946</v>
      </c>
      <c r="G467" t="s">
        <v>133</v>
      </c>
      <c r="H467" t="s">
        <v>2128</v>
      </c>
    </row>
    <row r="468" spans="1:8" x14ac:dyDescent="0.35">
      <c r="A468" t="s">
        <v>2129</v>
      </c>
      <c r="B468" t="str">
        <f>"9780803246171"</f>
        <v>9780803246171</v>
      </c>
      <c r="C468" t="s">
        <v>2130</v>
      </c>
      <c r="D468" t="s">
        <v>2131</v>
      </c>
      <c r="E468" t="s">
        <v>1827</v>
      </c>
      <c r="F468" t="s">
        <v>2132</v>
      </c>
      <c r="G468" t="s">
        <v>2133</v>
      </c>
      <c r="H468" t="s">
        <v>2134</v>
      </c>
    </row>
    <row r="469" spans="1:8" x14ac:dyDescent="0.35">
      <c r="A469" t="s">
        <v>2135</v>
      </c>
      <c r="B469" t="str">
        <f>"9780807837368"</f>
        <v>9780807837368</v>
      </c>
      <c r="C469" t="s">
        <v>2136</v>
      </c>
      <c r="D469" t="s">
        <v>2137</v>
      </c>
      <c r="E469" t="s">
        <v>328</v>
      </c>
      <c r="F469" t="s">
        <v>749</v>
      </c>
      <c r="G469" t="s">
        <v>44</v>
      </c>
      <c r="H469" t="s">
        <v>2138</v>
      </c>
    </row>
    <row r="470" spans="1:8" x14ac:dyDescent="0.35">
      <c r="A470" t="s">
        <v>2139</v>
      </c>
      <c r="B470" t="str">
        <f>"9780821395240"</f>
        <v>9780821395240</v>
      </c>
      <c r="C470" t="s">
        <v>2140</v>
      </c>
      <c r="D470" t="s">
        <v>2141</v>
      </c>
      <c r="E470" t="s">
        <v>481</v>
      </c>
      <c r="G470" t="s">
        <v>39</v>
      </c>
      <c r="H470" t="s">
        <v>2142</v>
      </c>
    </row>
    <row r="471" spans="1:8" x14ac:dyDescent="0.35">
      <c r="A471" t="s">
        <v>2143</v>
      </c>
      <c r="B471" t="str">
        <f>"9780813042527"</f>
        <v>9780813042527</v>
      </c>
      <c r="C471" t="s">
        <v>2144</v>
      </c>
      <c r="D471" t="s">
        <v>2145</v>
      </c>
      <c r="E471" t="s">
        <v>1788</v>
      </c>
      <c r="G471" t="s">
        <v>39</v>
      </c>
      <c r="H471" t="s">
        <v>2146</v>
      </c>
    </row>
    <row r="472" spans="1:8" x14ac:dyDescent="0.35">
      <c r="A472" t="s">
        <v>2147</v>
      </c>
      <c r="B472" t="str">
        <f>"9780761847151"</f>
        <v>9780761847151</v>
      </c>
      <c r="C472" t="s">
        <v>2148</v>
      </c>
      <c r="D472" t="s">
        <v>2149</v>
      </c>
      <c r="E472" t="s">
        <v>2150</v>
      </c>
      <c r="G472" t="s">
        <v>44</v>
      </c>
      <c r="H472" t="s">
        <v>2151</v>
      </c>
    </row>
    <row r="473" spans="1:8" x14ac:dyDescent="0.35">
      <c r="A473" t="s">
        <v>2152</v>
      </c>
      <c r="B473" t="str">
        <f>"9781136298288"</f>
        <v>9781136298288</v>
      </c>
      <c r="C473" t="s">
        <v>2153</v>
      </c>
      <c r="D473" t="s">
        <v>2154</v>
      </c>
      <c r="E473" t="s">
        <v>11</v>
      </c>
      <c r="F473" t="s">
        <v>445</v>
      </c>
      <c r="G473" t="s">
        <v>39</v>
      </c>
      <c r="H473" t="s">
        <v>2155</v>
      </c>
    </row>
    <row r="474" spans="1:8" x14ac:dyDescent="0.35">
      <c r="A474" t="s">
        <v>2156</v>
      </c>
      <c r="B474" t="str">
        <f>"9781136221613"</f>
        <v>9781136221613</v>
      </c>
      <c r="C474" t="s">
        <v>2157</v>
      </c>
      <c r="D474" t="s">
        <v>2158</v>
      </c>
      <c r="E474" t="s">
        <v>11</v>
      </c>
      <c r="F474" t="s">
        <v>2159</v>
      </c>
      <c r="G474" t="s">
        <v>60</v>
      </c>
      <c r="H474" t="s">
        <v>2160</v>
      </c>
    </row>
    <row r="475" spans="1:8" x14ac:dyDescent="0.35">
      <c r="A475" t="s">
        <v>2161</v>
      </c>
      <c r="B475" t="str">
        <f>"9780804784993"</f>
        <v>9780804784993</v>
      </c>
      <c r="C475" t="s">
        <v>2162</v>
      </c>
      <c r="D475" t="s">
        <v>2163</v>
      </c>
      <c r="E475" t="s">
        <v>680</v>
      </c>
      <c r="G475" t="s">
        <v>44</v>
      </c>
      <c r="H475" t="s">
        <v>2164</v>
      </c>
    </row>
    <row r="476" spans="1:8" x14ac:dyDescent="0.35">
      <c r="A476" t="s">
        <v>2165</v>
      </c>
      <c r="B476" t="str">
        <f>"9780804784757"</f>
        <v>9780804784757</v>
      </c>
      <c r="C476" t="s">
        <v>2166</v>
      </c>
      <c r="D476" t="s">
        <v>2167</v>
      </c>
      <c r="E476" t="s">
        <v>680</v>
      </c>
      <c r="G476" t="s">
        <v>305</v>
      </c>
      <c r="H476" t="s">
        <v>2168</v>
      </c>
    </row>
    <row r="477" spans="1:8" x14ac:dyDescent="0.35">
      <c r="A477" t="s">
        <v>2169</v>
      </c>
      <c r="B477" t="str">
        <f>"9781139782821"</f>
        <v>9781139782821</v>
      </c>
      <c r="C477" t="s">
        <v>2170</v>
      </c>
      <c r="D477" t="s">
        <v>2171</v>
      </c>
      <c r="E477" t="s">
        <v>304</v>
      </c>
      <c r="G477" t="s">
        <v>1116</v>
      </c>
      <c r="H477" t="s">
        <v>2172</v>
      </c>
    </row>
    <row r="478" spans="1:8" x14ac:dyDescent="0.35">
      <c r="A478" t="s">
        <v>2173</v>
      </c>
      <c r="B478" t="str">
        <f>"9781780523453"</f>
        <v>9781780523453</v>
      </c>
      <c r="C478" t="s">
        <v>2174</v>
      </c>
      <c r="D478" t="s">
        <v>2175</v>
      </c>
      <c r="E478" t="s">
        <v>450</v>
      </c>
      <c r="F478" t="s">
        <v>2176</v>
      </c>
      <c r="G478" t="s">
        <v>55</v>
      </c>
      <c r="H478" t="s">
        <v>2177</v>
      </c>
    </row>
    <row r="479" spans="1:8" x14ac:dyDescent="0.35">
      <c r="A479" t="s">
        <v>2178</v>
      </c>
      <c r="B479" t="str">
        <f>"9781780322063"</f>
        <v>9781780322063</v>
      </c>
      <c r="C479" t="s">
        <v>2179</v>
      </c>
      <c r="D479" t="s">
        <v>2180</v>
      </c>
      <c r="E479" t="s">
        <v>694</v>
      </c>
      <c r="G479" t="s">
        <v>305</v>
      </c>
      <c r="H479" t="s">
        <v>2181</v>
      </c>
    </row>
    <row r="480" spans="1:8" x14ac:dyDescent="0.35">
      <c r="A480" t="s">
        <v>2182</v>
      </c>
      <c r="B480" t="str">
        <f>"9780817386221"</f>
        <v>9780817386221</v>
      </c>
      <c r="C480" t="s">
        <v>2183</v>
      </c>
      <c r="D480" t="s">
        <v>2184</v>
      </c>
      <c r="E480" t="s">
        <v>417</v>
      </c>
      <c r="F480" t="s">
        <v>2185</v>
      </c>
      <c r="G480" t="s">
        <v>60</v>
      </c>
      <c r="H480" t="s">
        <v>2186</v>
      </c>
    </row>
    <row r="481" spans="1:8" x14ac:dyDescent="0.35">
      <c r="A481" t="s">
        <v>2187</v>
      </c>
      <c r="B481" t="str">
        <f>"9780804786799"</f>
        <v>9780804786799</v>
      </c>
      <c r="C481" t="s">
        <v>2188</v>
      </c>
      <c r="D481" t="s">
        <v>2189</v>
      </c>
      <c r="E481" t="s">
        <v>680</v>
      </c>
      <c r="G481" t="s">
        <v>1116</v>
      </c>
      <c r="H481" t="s">
        <v>2190</v>
      </c>
    </row>
    <row r="482" spans="1:8" x14ac:dyDescent="0.35">
      <c r="A482" t="s">
        <v>2191</v>
      </c>
      <c r="B482" t="str">
        <f>"9780804783927"</f>
        <v>9780804783927</v>
      </c>
      <c r="C482" t="s">
        <v>2192</v>
      </c>
      <c r="D482" t="s">
        <v>2193</v>
      </c>
      <c r="E482" t="s">
        <v>680</v>
      </c>
      <c r="G482" t="s">
        <v>305</v>
      </c>
      <c r="H482" t="s">
        <v>2194</v>
      </c>
    </row>
    <row r="483" spans="1:8" x14ac:dyDescent="0.35">
      <c r="A483" t="s">
        <v>2195</v>
      </c>
      <c r="B483" t="str">
        <f>"9781136622182"</f>
        <v>9781136622182</v>
      </c>
      <c r="C483" t="s">
        <v>2196</v>
      </c>
      <c r="D483" t="s">
        <v>2197</v>
      </c>
      <c r="E483" t="s">
        <v>11</v>
      </c>
      <c r="G483" t="s">
        <v>305</v>
      </c>
      <c r="H483" t="s">
        <v>2198</v>
      </c>
    </row>
    <row r="484" spans="1:8" x14ac:dyDescent="0.35">
      <c r="A484" t="s">
        <v>2199</v>
      </c>
      <c r="B484" t="str">
        <f>"9781136256998"</f>
        <v>9781136256998</v>
      </c>
      <c r="C484" t="s">
        <v>2200</v>
      </c>
      <c r="D484" t="s">
        <v>2201</v>
      </c>
      <c r="E484" t="s">
        <v>11</v>
      </c>
      <c r="F484" t="s">
        <v>2202</v>
      </c>
      <c r="G484" t="s">
        <v>139</v>
      </c>
      <c r="H484" t="s">
        <v>2203</v>
      </c>
    </row>
    <row r="485" spans="1:8" x14ac:dyDescent="0.35">
      <c r="A485" t="s">
        <v>2204</v>
      </c>
      <c r="B485" t="str">
        <f>"9780816679522"</f>
        <v>9780816679522</v>
      </c>
      <c r="C485" t="s">
        <v>2205</v>
      </c>
      <c r="D485" t="s">
        <v>2206</v>
      </c>
      <c r="E485" t="s">
        <v>273</v>
      </c>
      <c r="G485" t="s">
        <v>60</v>
      </c>
      <c r="H485" t="s">
        <v>2207</v>
      </c>
    </row>
    <row r="486" spans="1:8" x14ac:dyDescent="0.35">
      <c r="A486" t="s">
        <v>2208</v>
      </c>
      <c r="B486" t="str">
        <f>"9780816680184"</f>
        <v>9780816680184</v>
      </c>
      <c r="C486" t="s">
        <v>2209</v>
      </c>
      <c r="D486" t="s">
        <v>2210</v>
      </c>
      <c r="E486" t="s">
        <v>273</v>
      </c>
      <c r="G486" t="s">
        <v>139</v>
      </c>
      <c r="H486" t="s">
        <v>2211</v>
      </c>
    </row>
    <row r="487" spans="1:8" x14ac:dyDescent="0.35">
      <c r="A487" t="s">
        <v>2212</v>
      </c>
      <c r="B487" t="str">
        <f>"9780803244733"</f>
        <v>9780803244733</v>
      </c>
      <c r="C487" t="s">
        <v>2213</v>
      </c>
      <c r="D487" t="s">
        <v>2214</v>
      </c>
      <c r="E487" t="s">
        <v>2215</v>
      </c>
      <c r="F487" t="s">
        <v>2216</v>
      </c>
      <c r="G487" t="s">
        <v>17</v>
      </c>
      <c r="H487" t="s">
        <v>2217</v>
      </c>
    </row>
    <row r="488" spans="1:8" x14ac:dyDescent="0.35">
      <c r="A488" t="s">
        <v>2218</v>
      </c>
      <c r="B488" t="str">
        <f>"9780813042596"</f>
        <v>9780813042596</v>
      </c>
      <c r="C488" t="s">
        <v>2219</v>
      </c>
      <c r="D488" t="s">
        <v>2220</v>
      </c>
      <c r="E488" t="s">
        <v>1788</v>
      </c>
      <c r="G488" t="s">
        <v>44</v>
      </c>
      <c r="H488" t="s">
        <v>2221</v>
      </c>
    </row>
    <row r="489" spans="1:8" x14ac:dyDescent="0.35">
      <c r="A489" t="s">
        <v>2222</v>
      </c>
      <c r="B489" t="str">
        <f>"9781603448130"</f>
        <v>9781603448130</v>
      </c>
      <c r="C489" t="s">
        <v>2223</v>
      </c>
      <c r="D489" t="s">
        <v>2224</v>
      </c>
      <c r="E489" t="s">
        <v>2225</v>
      </c>
      <c r="G489" t="s">
        <v>376</v>
      </c>
      <c r="H489" t="s">
        <v>2226</v>
      </c>
    </row>
    <row r="490" spans="1:8" x14ac:dyDescent="0.35">
      <c r="A490" t="s">
        <v>2227</v>
      </c>
      <c r="B490" t="str">
        <f>"9781603447799"</f>
        <v>9781603447799</v>
      </c>
      <c r="C490" t="s">
        <v>2228</v>
      </c>
      <c r="D490" t="s">
        <v>2229</v>
      </c>
      <c r="E490" t="s">
        <v>2225</v>
      </c>
      <c r="G490" t="s">
        <v>44</v>
      </c>
      <c r="H490" t="s">
        <v>2230</v>
      </c>
    </row>
    <row r="491" spans="1:8" x14ac:dyDescent="0.35">
      <c r="A491" t="s">
        <v>2231</v>
      </c>
      <c r="B491" t="str">
        <f>"9780804786218"</f>
        <v>9780804786218</v>
      </c>
      <c r="C491" t="s">
        <v>2232</v>
      </c>
      <c r="D491" t="s">
        <v>2233</v>
      </c>
      <c r="E491" t="s">
        <v>680</v>
      </c>
      <c r="G491" t="s">
        <v>139</v>
      </c>
      <c r="H491" t="s">
        <v>2234</v>
      </c>
    </row>
    <row r="492" spans="1:8" x14ac:dyDescent="0.35">
      <c r="A492" t="s">
        <v>2235</v>
      </c>
      <c r="B492" t="str">
        <f>"9781593326456"</f>
        <v>9781593326456</v>
      </c>
      <c r="C492" t="s">
        <v>2236</v>
      </c>
      <c r="D492" t="s">
        <v>2237</v>
      </c>
      <c r="E492" t="s">
        <v>2238</v>
      </c>
      <c r="F492" t="s">
        <v>2239</v>
      </c>
      <c r="G492" t="s">
        <v>96</v>
      </c>
      <c r="H492" t="s">
        <v>2240</v>
      </c>
    </row>
    <row r="493" spans="1:8" x14ac:dyDescent="0.35">
      <c r="A493" t="s">
        <v>2241</v>
      </c>
      <c r="B493" t="str">
        <f>"9781593326579"</f>
        <v>9781593326579</v>
      </c>
      <c r="C493" t="s">
        <v>2242</v>
      </c>
      <c r="D493" t="s">
        <v>2243</v>
      </c>
      <c r="E493" t="s">
        <v>2238</v>
      </c>
      <c r="F493" t="s">
        <v>2239</v>
      </c>
      <c r="G493" t="s">
        <v>83</v>
      </c>
      <c r="H493" t="s">
        <v>2244</v>
      </c>
    </row>
    <row r="494" spans="1:8" x14ac:dyDescent="0.35">
      <c r="A494" t="s">
        <v>2245</v>
      </c>
      <c r="B494" t="str">
        <f>"9781593326814"</f>
        <v>9781593326814</v>
      </c>
      <c r="C494" t="s">
        <v>2246</v>
      </c>
      <c r="D494" t="s">
        <v>2247</v>
      </c>
      <c r="E494" t="s">
        <v>2238</v>
      </c>
      <c r="F494" t="s">
        <v>2239</v>
      </c>
      <c r="G494" t="s">
        <v>376</v>
      </c>
      <c r="H494" t="s">
        <v>2248</v>
      </c>
    </row>
    <row r="495" spans="1:8" x14ac:dyDescent="0.35">
      <c r="A495" t="s">
        <v>2249</v>
      </c>
      <c r="B495" t="str">
        <f>"9781593326906"</f>
        <v>9781593326906</v>
      </c>
      <c r="C495" t="s">
        <v>2250</v>
      </c>
      <c r="D495" t="s">
        <v>2251</v>
      </c>
      <c r="E495" t="s">
        <v>2238</v>
      </c>
      <c r="F495" t="s">
        <v>2239</v>
      </c>
      <c r="G495" t="s">
        <v>44</v>
      </c>
      <c r="H495" t="s">
        <v>2252</v>
      </c>
    </row>
    <row r="496" spans="1:8" x14ac:dyDescent="0.35">
      <c r="A496" t="s">
        <v>2253</v>
      </c>
      <c r="B496" t="str">
        <f>"9781593326777"</f>
        <v>9781593326777</v>
      </c>
      <c r="C496" t="s">
        <v>2254</v>
      </c>
      <c r="D496" t="s">
        <v>2255</v>
      </c>
      <c r="E496" t="s">
        <v>2238</v>
      </c>
      <c r="F496" t="s">
        <v>2239</v>
      </c>
      <c r="G496" t="s">
        <v>112</v>
      </c>
      <c r="H496" t="s">
        <v>2256</v>
      </c>
    </row>
    <row r="497" spans="1:8" x14ac:dyDescent="0.35">
      <c r="A497" t="s">
        <v>2257</v>
      </c>
      <c r="B497" t="str">
        <f>"9781593326890"</f>
        <v>9781593326890</v>
      </c>
      <c r="C497" t="s">
        <v>2258</v>
      </c>
      <c r="D497" t="s">
        <v>2259</v>
      </c>
      <c r="E497" t="s">
        <v>2238</v>
      </c>
      <c r="F497" t="s">
        <v>2239</v>
      </c>
      <c r="G497" t="s">
        <v>112</v>
      </c>
      <c r="H497" t="s">
        <v>2260</v>
      </c>
    </row>
    <row r="498" spans="1:8" x14ac:dyDescent="0.35">
      <c r="A498" t="s">
        <v>2261</v>
      </c>
      <c r="B498" t="str">
        <f>"9781611321432"</f>
        <v>9781611321432</v>
      </c>
      <c r="C498" t="s">
        <v>2262</v>
      </c>
      <c r="D498" t="s">
        <v>2263</v>
      </c>
      <c r="E498" t="s">
        <v>11</v>
      </c>
      <c r="F498" t="s">
        <v>2264</v>
      </c>
      <c r="G498" t="s">
        <v>1047</v>
      </c>
      <c r="H498" t="s">
        <v>2265</v>
      </c>
    </row>
    <row r="499" spans="1:8" x14ac:dyDescent="0.35">
      <c r="A499" t="s">
        <v>2266</v>
      </c>
      <c r="B499" t="str">
        <f>"9780803244863"</f>
        <v>9780803244863</v>
      </c>
      <c r="C499" t="s">
        <v>2267</v>
      </c>
      <c r="D499" t="s">
        <v>1013</v>
      </c>
      <c r="E499" t="s">
        <v>1827</v>
      </c>
      <c r="F499" t="s">
        <v>576</v>
      </c>
      <c r="G499" t="s">
        <v>44</v>
      </c>
      <c r="H499" t="s">
        <v>2268</v>
      </c>
    </row>
    <row r="500" spans="1:8" x14ac:dyDescent="0.35">
      <c r="A500" t="s">
        <v>2269</v>
      </c>
      <c r="B500" t="str">
        <f>"9781847792082"</f>
        <v>9781847792082</v>
      </c>
      <c r="C500" t="s">
        <v>2270</v>
      </c>
      <c r="D500" t="s">
        <v>2271</v>
      </c>
      <c r="E500" t="s">
        <v>2272</v>
      </c>
      <c r="F500" t="s">
        <v>2273</v>
      </c>
      <c r="G500" t="s">
        <v>1634</v>
      </c>
      <c r="H500" t="s">
        <v>2274</v>
      </c>
    </row>
    <row r="501" spans="1:8" x14ac:dyDescent="0.35">
      <c r="A501" t="s">
        <v>2275</v>
      </c>
      <c r="B501" t="str">
        <f>"9781847792761"</f>
        <v>9781847792761</v>
      </c>
      <c r="C501" t="s">
        <v>2276</v>
      </c>
      <c r="D501" t="s">
        <v>2277</v>
      </c>
      <c r="E501" t="s">
        <v>2272</v>
      </c>
      <c r="G501" t="s">
        <v>22</v>
      </c>
      <c r="H501" t="s">
        <v>2278</v>
      </c>
    </row>
    <row r="502" spans="1:8" x14ac:dyDescent="0.35">
      <c r="A502" t="s">
        <v>2279</v>
      </c>
      <c r="B502" t="str">
        <f>"9781847792914"</f>
        <v>9781847792914</v>
      </c>
      <c r="C502" t="s">
        <v>2280</v>
      </c>
      <c r="D502" t="s">
        <v>2281</v>
      </c>
      <c r="E502" t="s">
        <v>2272</v>
      </c>
      <c r="F502" t="s">
        <v>2282</v>
      </c>
      <c r="G502" t="s">
        <v>96</v>
      </c>
      <c r="H502" t="s">
        <v>2283</v>
      </c>
    </row>
    <row r="503" spans="1:8" x14ac:dyDescent="0.35">
      <c r="A503" t="s">
        <v>2284</v>
      </c>
      <c r="B503" t="str">
        <f>"9780817386399"</f>
        <v>9780817386399</v>
      </c>
      <c r="C503" t="s">
        <v>2285</v>
      </c>
      <c r="D503" t="s">
        <v>2286</v>
      </c>
      <c r="E503" t="s">
        <v>417</v>
      </c>
      <c r="F503" t="s">
        <v>2185</v>
      </c>
      <c r="G503" t="s">
        <v>96</v>
      </c>
      <c r="H503" t="s">
        <v>2287</v>
      </c>
    </row>
    <row r="504" spans="1:8" x14ac:dyDescent="0.35">
      <c r="A504" t="s">
        <v>2288</v>
      </c>
      <c r="B504" t="str">
        <f>"9780817386443"</f>
        <v>9780817386443</v>
      </c>
      <c r="C504" t="s">
        <v>2289</v>
      </c>
      <c r="D504" t="s">
        <v>2290</v>
      </c>
      <c r="E504" t="s">
        <v>417</v>
      </c>
      <c r="G504" t="s">
        <v>44</v>
      </c>
      <c r="H504" t="s">
        <v>2291</v>
      </c>
    </row>
    <row r="505" spans="1:8" x14ac:dyDescent="0.35">
      <c r="A505" t="s">
        <v>2292</v>
      </c>
      <c r="B505" t="str">
        <f>"9780803244856"</f>
        <v>9780803244856</v>
      </c>
      <c r="C505" t="s">
        <v>2293</v>
      </c>
      <c r="D505" t="s">
        <v>2294</v>
      </c>
      <c r="E505" t="s">
        <v>1827</v>
      </c>
      <c r="F505" t="s">
        <v>576</v>
      </c>
      <c r="G505" t="s">
        <v>885</v>
      </c>
      <c r="H505" t="s">
        <v>2295</v>
      </c>
    </row>
    <row r="506" spans="1:8" x14ac:dyDescent="0.35">
      <c r="A506" t="s">
        <v>2296</v>
      </c>
      <c r="B506" t="str">
        <f>"9781136071621"</f>
        <v>9781136071621</v>
      </c>
      <c r="C506" t="s">
        <v>2297</v>
      </c>
      <c r="D506" t="s">
        <v>2298</v>
      </c>
      <c r="E506" t="s">
        <v>11</v>
      </c>
      <c r="G506" t="s">
        <v>44</v>
      </c>
      <c r="H506" t="s">
        <v>2299</v>
      </c>
    </row>
    <row r="507" spans="1:8" x14ac:dyDescent="0.35">
      <c r="A507" t="s">
        <v>2300</v>
      </c>
      <c r="B507" t="str">
        <f>"9783110265033"</f>
        <v>9783110265033</v>
      </c>
      <c r="C507" t="s">
        <v>2301</v>
      </c>
      <c r="D507" t="s">
        <v>2302</v>
      </c>
      <c r="E507" t="s">
        <v>759</v>
      </c>
      <c r="F507" t="s">
        <v>2303</v>
      </c>
      <c r="G507" t="s">
        <v>60</v>
      </c>
      <c r="H507" t="s">
        <v>2304</v>
      </c>
    </row>
    <row r="508" spans="1:8" x14ac:dyDescent="0.35">
      <c r="A508" t="s">
        <v>2305</v>
      </c>
      <c r="B508" t="str">
        <f>"9780739177655"</f>
        <v>9780739177655</v>
      </c>
      <c r="C508" t="s">
        <v>2306</v>
      </c>
      <c r="D508" t="s">
        <v>2307</v>
      </c>
      <c r="E508" t="s">
        <v>518</v>
      </c>
      <c r="G508" t="s">
        <v>334</v>
      </c>
      <c r="H508" t="s">
        <v>2308</v>
      </c>
    </row>
    <row r="509" spans="1:8" x14ac:dyDescent="0.35">
      <c r="A509" t="s">
        <v>2309</v>
      </c>
      <c r="B509" t="str">
        <f>"9780875654775"</f>
        <v>9780875654775</v>
      </c>
      <c r="C509" t="s">
        <v>2310</v>
      </c>
      <c r="D509" t="s">
        <v>2311</v>
      </c>
      <c r="E509" t="s">
        <v>2312</v>
      </c>
      <c r="G509" t="s">
        <v>96</v>
      </c>
      <c r="H509" t="s">
        <v>2313</v>
      </c>
    </row>
    <row r="510" spans="1:8" x14ac:dyDescent="0.35">
      <c r="A510" t="s">
        <v>2314</v>
      </c>
      <c r="B510" t="str">
        <f>"9781442220690"</f>
        <v>9781442220690</v>
      </c>
      <c r="C510" t="s">
        <v>2315</v>
      </c>
      <c r="D510" t="s">
        <v>2316</v>
      </c>
      <c r="E510" t="s">
        <v>524</v>
      </c>
      <c r="G510" t="s">
        <v>2317</v>
      </c>
      <c r="H510" t="s">
        <v>2318</v>
      </c>
    </row>
    <row r="511" spans="1:8" x14ac:dyDescent="0.35">
      <c r="A511" t="s">
        <v>2319</v>
      </c>
      <c r="B511" t="str">
        <f>"9780804784788"</f>
        <v>9780804784788</v>
      </c>
      <c r="C511" t="s">
        <v>2320</v>
      </c>
      <c r="D511" t="s">
        <v>2321</v>
      </c>
      <c r="E511" t="s">
        <v>680</v>
      </c>
      <c r="G511" t="s">
        <v>305</v>
      </c>
      <c r="H511" t="s">
        <v>2322</v>
      </c>
    </row>
    <row r="512" spans="1:8" x14ac:dyDescent="0.35">
      <c r="A512" t="s">
        <v>2323</v>
      </c>
      <c r="B512" t="str">
        <f>"9781443825375"</f>
        <v>9781443825375</v>
      </c>
      <c r="C512" t="s">
        <v>2324</v>
      </c>
      <c r="D512" t="s">
        <v>2325</v>
      </c>
      <c r="E512" t="s">
        <v>2326</v>
      </c>
      <c r="G512" t="s">
        <v>139</v>
      </c>
      <c r="H512" t="s">
        <v>2327</v>
      </c>
    </row>
    <row r="513" spans="1:8" x14ac:dyDescent="0.35">
      <c r="A513" t="s">
        <v>2328</v>
      </c>
      <c r="B513" t="str">
        <f>"9789004237353"</f>
        <v>9789004237353</v>
      </c>
      <c r="C513" t="s">
        <v>2329</v>
      </c>
      <c r="D513" t="s">
        <v>2330</v>
      </c>
      <c r="E513" t="s">
        <v>540</v>
      </c>
      <c r="F513" t="s">
        <v>1249</v>
      </c>
      <c r="G513" t="s">
        <v>2331</v>
      </c>
      <c r="H513" t="s">
        <v>2332</v>
      </c>
    </row>
    <row r="514" spans="1:8" x14ac:dyDescent="0.35">
      <c r="A514" t="s">
        <v>2333</v>
      </c>
      <c r="B514" t="str">
        <f>"9789004242074"</f>
        <v>9789004242074</v>
      </c>
      <c r="C514" t="s">
        <v>2334</v>
      </c>
      <c r="D514" t="s">
        <v>2335</v>
      </c>
      <c r="E514" t="s">
        <v>540</v>
      </c>
      <c r="F514" t="s">
        <v>562</v>
      </c>
      <c r="G514" t="s">
        <v>186</v>
      </c>
      <c r="H514" t="s">
        <v>2336</v>
      </c>
    </row>
    <row r="515" spans="1:8" x14ac:dyDescent="0.35">
      <c r="A515" t="s">
        <v>2337</v>
      </c>
      <c r="B515" t="str">
        <f>"9789004242197"</f>
        <v>9789004242197</v>
      </c>
      <c r="C515" t="s">
        <v>2338</v>
      </c>
      <c r="D515" t="s">
        <v>2339</v>
      </c>
      <c r="E515" t="s">
        <v>540</v>
      </c>
      <c r="F515" t="s">
        <v>2340</v>
      </c>
      <c r="G515" t="s">
        <v>146</v>
      </c>
      <c r="H515" t="s">
        <v>2341</v>
      </c>
    </row>
    <row r="516" spans="1:8" x14ac:dyDescent="0.35">
      <c r="A516" t="s">
        <v>2342</v>
      </c>
      <c r="B516" t="str">
        <f>"9781584658429"</f>
        <v>9781584658429</v>
      </c>
      <c r="C516" t="s">
        <v>2343</v>
      </c>
      <c r="D516" t="s">
        <v>2344</v>
      </c>
      <c r="E516" t="s">
        <v>2345</v>
      </c>
      <c r="F516" t="s">
        <v>2346</v>
      </c>
      <c r="G516" t="s">
        <v>139</v>
      </c>
      <c r="H516" t="s">
        <v>2347</v>
      </c>
    </row>
    <row r="517" spans="1:8" x14ac:dyDescent="0.35">
      <c r="A517" t="s">
        <v>2348</v>
      </c>
      <c r="B517" t="str">
        <f>"9781136177163"</f>
        <v>9781136177163</v>
      </c>
      <c r="C517" t="s">
        <v>2349</v>
      </c>
      <c r="D517" t="s">
        <v>2350</v>
      </c>
      <c r="E517" t="s">
        <v>11</v>
      </c>
      <c r="F517" t="s">
        <v>2351</v>
      </c>
      <c r="G517" t="s">
        <v>60</v>
      </c>
      <c r="H517" t="s">
        <v>2352</v>
      </c>
    </row>
    <row r="518" spans="1:8" x14ac:dyDescent="0.35">
      <c r="A518" t="s">
        <v>2353</v>
      </c>
      <c r="B518" t="str">
        <f>"9781136227806"</f>
        <v>9781136227806</v>
      </c>
      <c r="C518" t="s">
        <v>2354</v>
      </c>
      <c r="D518" t="s">
        <v>2355</v>
      </c>
      <c r="E518" t="s">
        <v>11</v>
      </c>
      <c r="F518" t="s">
        <v>445</v>
      </c>
      <c r="G518" t="s">
        <v>305</v>
      </c>
      <c r="H518" t="s">
        <v>2356</v>
      </c>
    </row>
    <row r="519" spans="1:8" x14ac:dyDescent="0.35">
      <c r="A519" t="s">
        <v>2357</v>
      </c>
      <c r="B519" t="str">
        <f>"9781136232800"</f>
        <v>9781136232800</v>
      </c>
      <c r="C519" t="s">
        <v>2358</v>
      </c>
      <c r="D519" t="s">
        <v>2359</v>
      </c>
      <c r="E519" t="s">
        <v>11</v>
      </c>
      <c r="F519" t="s">
        <v>2360</v>
      </c>
      <c r="G519" t="s">
        <v>305</v>
      </c>
      <c r="H519" t="s">
        <v>2361</v>
      </c>
    </row>
    <row r="520" spans="1:8" x14ac:dyDescent="0.35">
      <c r="A520" t="s">
        <v>2362</v>
      </c>
      <c r="B520" t="str">
        <f>"9781611684094"</f>
        <v>9781611684094</v>
      </c>
      <c r="C520" t="s">
        <v>2363</v>
      </c>
      <c r="D520" t="s">
        <v>2364</v>
      </c>
      <c r="E520" t="s">
        <v>2345</v>
      </c>
      <c r="F520" t="s">
        <v>2365</v>
      </c>
      <c r="G520" t="s">
        <v>191</v>
      </c>
      <c r="H520" t="s">
        <v>2366</v>
      </c>
    </row>
    <row r="521" spans="1:8" x14ac:dyDescent="0.35">
      <c r="A521" t="s">
        <v>2367</v>
      </c>
      <c r="B521" t="str">
        <f>"9781555538088"</f>
        <v>9781555538088</v>
      </c>
      <c r="C521" t="s">
        <v>2368</v>
      </c>
      <c r="D521" t="s">
        <v>2369</v>
      </c>
      <c r="E521" t="s">
        <v>2370</v>
      </c>
      <c r="G521" t="s">
        <v>96</v>
      </c>
      <c r="H521" t="s">
        <v>2371</v>
      </c>
    </row>
    <row r="522" spans="1:8" x14ac:dyDescent="0.35">
      <c r="A522" t="s">
        <v>2372</v>
      </c>
      <c r="B522" t="str">
        <f>"9781933227511"</f>
        <v>9781933227511</v>
      </c>
      <c r="C522" t="s">
        <v>2373</v>
      </c>
      <c r="D522" t="s">
        <v>2374</v>
      </c>
      <c r="E522" t="s">
        <v>2375</v>
      </c>
      <c r="F522" t="s">
        <v>2376</v>
      </c>
      <c r="G522" t="s">
        <v>17</v>
      </c>
      <c r="H522" t="s">
        <v>2377</v>
      </c>
    </row>
    <row r="523" spans="1:8" x14ac:dyDescent="0.35">
      <c r="A523" t="s">
        <v>2378</v>
      </c>
      <c r="B523" t="str">
        <f>"9780857457530"</f>
        <v>9780857457530</v>
      </c>
      <c r="C523" t="s">
        <v>2379</v>
      </c>
      <c r="D523" t="s">
        <v>2380</v>
      </c>
      <c r="E523" t="s">
        <v>1398</v>
      </c>
      <c r="F523" t="s">
        <v>1839</v>
      </c>
      <c r="G523" t="s">
        <v>305</v>
      </c>
      <c r="H523" t="s">
        <v>2381</v>
      </c>
    </row>
    <row r="524" spans="1:8" x14ac:dyDescent="0.35">
      <c r="A524" t="s">
        <v>2382</v>
      </c>
      <c r="B524" t="str">
        <f>"9781136227738"</f>
        <v>9781136227738</v>
      </c>
      <c r="C524" t="s">
        <v>2383</v>
      </c>
      <c r="D524" t="s">
        <v>2384</v>
      </c>
      <c r="E524" t="s">
        <v>11</v>
      </c>
      <c r="F524" t="s">
        <v>2097</v>
      </c>
      <c r="G524" t="s">
        <v>2385</v>
      </c>
      <c r="H524" t="s">
        <v>2386</v>
      </c>
    </row>
    <row r="525" spans="1:8" x14ac:dyDescent="0.35">
      <c r="A525" t="s">
        <v>2387</v>
      </c>
      <c r="B525" t="str">
        <f>"9781136893520"</f>
        <v>9781136893520</v>
      </c>
      <c r="C525" t="s">
        <v>2388</v>
      </c>
      <c r="D525" t="s">
        <v>2389</v>
      </c>
      <c r="E525" t="s">
        <v>11</v>
      </c>
      <c r="F525" t="s">
        <v>2390</v>
      </c>
      <c r="G525" t="s">
        <v>39</v>
      </c>
      <c r="H525" t="s">
        <v>2391</v>
      </c>
    </row>
    <row r="526" spans="1:8" x14ac:dyDescent="0.35">
      <c r="A526" t="s">
        <v>2392</v>
      </c>
      <c r="B526" t="str">
        <f>"9781136074820"</f>
        <v>9781136074820</v>
      </c>
      <c r="C526" t="s">
        <v>2393</v>
      </c>
      <c r="D526" t="s">
        <v>2394</v>
      </c>
      <c r="E526" t="s">
        <v>11</v>
      </c>
      <c r="G526" t="s">
        <v>55</v>
      </c>
      <c r="H526" t="s">
        <v>2395</v>
      </c>
    </row>
    <row r="527" spans="1:8" x14ac:dyDescent="0.35">
      <c r="A527" t="s">
        <v>2396</v>
      </c>
      <c r="B527" t="str">
        <f>"9781139611459"</f>
        <v>9781139611459</v>
      </c>
      <c r="C527" t="s">
        <v>2397</v>
      </c>
      <c r="D527" t="s">
        <v>2398</v>
      </c>
      <c r="E527" t="s">
        <v>304</v>
      </c>
      <c r="F527" t="s">
        <v>1421</v>
      </c>
      <c r="G527" t="s">
        <v>55</v>
      </c>
      <c r="H527" t="s">
        <v>2399</v>
      </c>
    </row>
    <row r="528" spans="1:8" x14ac:dyDescent="0.35">
      <c r="A528" t="s">
        <v>2400</v>
      </c>
      <c r="B528" t="str">
        <f>"9781139611596"</f>
        <v>9781139611596</v>
      </c>
      <c r="C528" t="s">
        <v>2401</v>
      </c>
      <c r="D528" t="s">
        <v>2402</v>
      </c>
      <c r="E528" t="s">
        <v>304</v>
      </c>
      <c r="G528" t="s">
        <v>186</v>
      </c>
      <c r="H528" t="s">
        <v>2403</v>
      </c>
    </row>
    <row r="529" spans="1:8" x14ac:dyDescent="0.35">
      <c r="A529" t="s">
        <v>2404</v>
      </c>
      <c r="B529" t="str">
        <f>"9781139611633"</f>
        <v>9781139611633</v>
      </c>
      <c r="C529" t="s">
        <v>2405</v>
      </c>
      <c r="D529" t="s">
        <v>2406</v>
      </c>
      <c r="E529" t="s">
        <v>304</v>
      </c>
      <c r="G529" t="s">
        <v>305</v>
      </c>
      <c r="H529" t="s">
        <v>2407</v>
      </c>
    </row>
    <row r="530" spans="1:8" x14ac:dyDescent="0.35">
      <c r="A530" t="s">
        <v>2408</v>
      </c>
      <c r="B530" t="str">
        <f>"9781139612289"</f>
        <v>9781139612289</v>
      </c>
      <c r="C530" t="s">
        <v>2409</v>
      </c>
      <c r="D530" t="s">
        <v>2410</v>
      </c>
      <c r="E530" t="s">
        <v>304</v>
      </c>
      <c r="F530" t="s">
        <v>1901</v>
      </c>
      <c r="G530" t="s">
        <v>376</v>
      </c>
      <c r="H530" t="s">
        <v>2411</v>
      </c>
    </row>
    <row r="531" spans="1:8" x14ac:dyDescent="0.35">
      <c r="A531" t="s">
        <v>2412</v>
      </c>
      <c r="B531" t="str">
        <f>"9781139612708"</f>
        <v>9781139612708</v>
      </c>
      <c r="C531" t="s">
        <v>2413</v>
      </c>
      <c r="D531" t="s">
        <v>2414</v>
      </c>
      <c r="E531" t="s">
        <v>304</v>
      </c>
      <c r="G531" t="s">
        <v>376</v>
      </c>
      <c r="H531" t="s">
        <v>2415</v>
      </c>
    </row>
    <row r="532" spans="1:8" x14ac:dyDescent="0.35">
      <c r="A532" t="s">
        <v>2416</v>
      </c>
      <c r="B532" t="str">
        <f>"9781139627924"</f>
        <v>9781139627924</v>
      </c>
      <c r="C532" t="s">
        <v>2417</v>
      </c>
      <c r="D532" t="s">
        <v>2418</v>
      </c>
      <c r="E532" t="s">
        <v>304</v>
      </c>
      <c r="G532" t="s">
        <v>197</v>
      </c>
      <c r="H532" t="s">
        <v>2419</v>
      </c>
    </row>
    <row r="533" spans="1:8" x14ac:dyDescent="0.35">
      <c r="A533" t="s">
        <v>2420</v>
      </c>
      <c r="B533" t="str">
        <f>"9781139612890"</f>
        <v>9781139612890</v>
      </c>
      <c r="C533" t="s">
        <v>2421</v>
      </c>
      <c r="D533" t="s">
        <v>2422</v>
      </c>
      <c r="E533" t="s">
        <v>304</v>
      </c>
      <c r="G533" t="s">
        <v>22</v>
      </c>
      <c r="H533" t="s">
        <v>2423</v>
      </c>
    </row>
    <row r="534" spans="1:8" x14ac:dyDescent="0.35">
      <c r="A534" t="s">
        <v>2424</v>
      </c>
      <c r="B534" t="str">
        <f>"9780804784603"</f>
        <v>9780804784603</v>
      </c>
      <c r="C534" t="s">
        <v>2425</v>
      </c>
      <c r="D534" t="s">
        <v>2426</v>
      </c>
      <c r="E534" t="s">
        <v>680</v>
      </c>
      <c r="G534" t="s">
        <v>376</v>
      </c>
      <c r="H534" t="s">
        <v>2427</v>
      </c>
    </row>
    <row r="535" spans="1:8" x14ac:dyDescent="0.35">
      <c r="A535" t="s">
        <v>2428</v>
      </c>
      <c r="B535" t="str">
        <f>"9780804784573"</f>
        <v>9780804784573</v>
      </c>
      <c r="C535" t="s">
        <v>2429</v>
      </c>
      <c r="D535" t="s">
        <v>2430</v>
      </c>
      <c r="E535" t="s">
        <v>680</v>
      </c>
      <c r="G535" t="s">
        <v>39</v>
      </c>
      <c r="H535" t="s">
        <v>2431</v>
      </c>
    </row>
    <row r="536" spans="1:8" x14ac:dyDescent="0.35">
      <c r="A536" t="s">
        <v>2432</v>
      </c>
      <c r="B536" t="str">
        <f>"9780739168493"</f>
        <v>9780739168493</v>
      </c>
      <c r="C536" t="s">
        <v>2433</v>
      </c>
      <c r="D536" t="s">
        <v>2434</v>
      </c>
      <c r="E536" t="s">
        <v>518</v>
      </c>
      <c r="G536" t="s">
        <v>39</v>
      </c>
      <c r="H536" t="s">
        <v>2435</v>
      </c>
    </row>
    <row r="537" spans="1:8" x14ac:dyDescent="0.35">
      <c r="A537" t="s">
        <v>2436</v>
      </c>
      <c r="B537" t="str">
        <f>"9780826347374"</f>
        <v>9780826347374</v>
      </c>
      <c r="C537" t="s">
        <v>2437</v>
      </c>
      <c r="D537" t="s">
        <v>2438</v>
      </c>
      <c r="E537" t="s">
        <v>2439</v>
      </c>
      <c r="G537" t="s">
        <v>55</v>
      </c>
      <c r="H537" t="s">
        <v>2440</v>
      </c>
    </row>
    <row r="538" spans="1:8" x14ac:dyDescent="0.35">
      <c r="A538" t="s">
        <v>2441</v>
      </c>
      <c r="B538" t="str">
        <f>"9780826342881"</f>
        <v>9780826342881</v>
      </c>
      <c r="C538" t="s">
        <v>2442</v>
      </c>
      <c r="D538" t="s">
        <v>2443</v>
      </c>
      <c r="E538" t="s">
        <v>2439</v>
      </c>
      <c r="G538" t="s">
        <v>44</v>
      </c>
      <c r="H538" t="s">
        <v>2444</v>
      </c>
    </row>
    <row r="539" spans="1:8" x14ac:dyDescent="0.35">
      <c r="A539" t="s">
        <v>2445</v>
      </c>
      <c r="B539" t="str">
        <f>"9780826329066"</f>
        <v>9780826329066</v>
      </c>
      <c r="C539" t="s">
        <v>2446</v>
      </c>
      <c r="D539" t="s">
        <v>2447</v>
      </c>
      <c r="E539" t="s">
        <v>2439</v>
      </c>
      <c r="F539" t="s">
        <v>2448</v>
      </c>
      <c r="G539" t="s">
        <v>2449</v>
      </c>
      <c r="H539" t="s">
        <v>2450</v>
      </c>
    </row>
    <row r="540" spans="1:8" x14ac:dyDescent="0.35">
      <c r="A540" t="s">
        <v>2451</v>
      </c>
      <c r="B540" t="str">
        <f>"9780826351470"</f>
        <v>9780826351470</v>
      </c>
      <c r="C540" t="s">
        <v>2452</v>
      </c>
      <c r="D540" t="s">
        <v>2453</v>
      </c>
      <c r="E540" t="s">
        <v>2439</v>
      </c>
      <c r="G540" t="s">
        <v>17</v>
      </c>
      <c r="H540" t="s">
        <v>2454</v>
      </c>
    </row>
    <row r="541" spans="1:8" x14ac:dyDescent="0.35">
      <c r="A541" t="s">
        <v>2455</v>
      </c>
      <c r="B541" t="str">
        <f>"9780826352576"</f>
        <v>9780826352576</v>
      </c>
      <c r="C541" t="s">
        <v>2456</v>
      </c>
      <c r="D541" t="s">
        <v>1568</v>
      </c>
      <c r="E541" t="s">
        <v>2439</v>
      </c>
      <c r="G541" t="s">
        <v>83</v>
      </c>
      <c r="H541" t="s">
        <v>2457</v>
      </c>
    </row>
    <row r="542" spans="1:8" x14ac:dyDescent="0.35">
      <c r="A542" t="s">
        <v>2458</v>
      </c>
      <c r="B542" t="str">
        <f>"9780826351739"</f>
        <v>9780826351739</v>
      </c>
      <c r="C542" t="s">
        <v>2459</v>
      </c>
      <c r="D542" t="s">
        <v>2460</v>
      </c>
      <c r="E542" t="s">
        <v>2439</v>
      </c>
      <c r="G542" t="s">
        <v>2461</v>
      </c>
      <c r="H542" t="s">
        <v>2462</v>
      </c>
    </row>
    <row r="543" spans="1:8" x14ac:dyDescent="0.35">
      <c r="A543" t="s">
        <v>2463</v>
      </c>
      <c r="B543" t="str">
        <f>"9780826344564"</f>
        <v>9780826344564</v>
      </c>
      <c r="C543" t="s">
        <v>2464</v>
      </c>
      <c r="D543" t="s">
        <v>2465</v>
      </c>
      <c r="E543" t="s">
        <v>2439</v>
      </c>
      <c r="G543" t="s">
        <v>197</v>
      </c>
      <c r="H543" t="s">
        <v>2466</v>
      </c>
    </row>
    <row r="544" spans="1:8" x14ac:dyDescent="0.35">
      <c r="A544" t="s">
        <v>2467</v>
      </c>
      <c r="B544" t="str">
        <f>"9780826350886"</f>
        <v>9780826350886</v>
      </c>
      <c r="C544" t="s">
        <v>2468</v>
      </c>
      <c r="D544" t="s">
        <v>2469</v>
      </c>
      <c r="E544" t="s">
        <v>2439</v>
      </c>
      <c r="G544" t="s">
        <v>146</v>
      </c>
      <c r="H544" t="s">
        <v>2470</v>
      </c>
    </row>
    <row r="545" spans="1:8" x14ac:dyDescent="0.35">
      <c r="A545" t="s">
        <v>2471</v>
      </c>
      <c r="B545" t="str">
        <f>"9780826345516"</f>
        <v>9780826345516</v>
      </c>
      <c r="C545" t="s">
        <v>2472</v>
      </c>
      <c r="D545" t="s">
        <v>2473</v>
      </c>
      <c r="E545" t="s">
        <v>2439</v>
      </c>
      <c r="G545" t="s">
        <v>146</v>
      </c>
      <c r="H545" t="s">
        <v>2474</v>
      </c>
    </row>
    <row r="546" spans="1:8" x14ac:dyDescent="0.35">
      <c r="A546" t="s">
        <v>2475</v>
      </c>
      <c r="B546" t="str">
        <f>"9780813045023"</f>
        <v>9780813045023</v>
      </c>
      <c r="C546" t="s">
        <v>2476</v>
      </c>
      <c r="D546" t="s">
        <v>2477</v>
      </c>
      <c r="E546" t="s">
        <v>1788</v>
      </c>
      <c r="G546" t="s">
        <v>83</v>
      </c>
      <c r="H546" t="s">
        <v>2478</v>
      </c>
    </row>
    <row r="547" spans="1:8" x14ac:dyDescent="0.35">
      <c r="A547" t="s">
        <v>2479</v>
      </c>
      <c r="B547" t="str">
        <f>"9780199897995"</f>
        <v>9780199897995</v>
      </c>
      <c r="C547" t="s">
        <v>2480</v>
      </c>
      <c r="D547" t="s">
        <v>2481</v>
      </c>
      <c r="E547" t="s">
        <v>355</v>
      </c>
      <c r="G547" t="s">
        <v>44</v>
      </c>
      <c r="H547" t="s">
        <v>2482</v>
      </c>
    </row>
    <row r="548" spans="1:8" x14ac:dyDescent="0.35">
      <c r="A548" t="s">
        <v>2483</v>
      </c>
      <c r="B548" t="str">
        <f>"9780826352439"</f>
        <v>9780826352439</v>
      </c>
      <c r="C548" t="s">
        <v>2484</v>
      </c>
      <c r="D548" t="s">
        <v>2485</v>
      </c>
      <c r="E548" t="s">
        <v>2439</v>
      </c>
      <c r="G548" t="s">
        <v>157</v>
      </c>
      <c r="H548" t="s">
        <v>2486</v>
      </c>
    </row>
    <row r="549" spans="1:8" x14ac:dyDescent="0.35">
      <c r="A549" t="s">
        <v>2487</v>
      </c>
      <c r="B549" t="str">
        <f>"9780821397237"</f>
        <v>9780821397237</v>
      </c>
      <c r="C549" t="s">
        <v>2488</v>
      </c>
      <c r="D549" t="s">
        <v>2489</v>
      </c>
      <c r="E549" t="s">
        <v>481</v>
      </c>
      <c r="G549" t="s">
        <v>157</v>
      </c>
      <c r="H549" t="s">
        <v>2490</v>
      </c>
    </row>
    <row r="550" spans="1:8" x14ac:dyDescent="0.35">
      <c r="A550" t="s">
        <v>2491</v>
      </c>
      <c r="B550" t="str">
        <f>"9780520954854"</f>
        <v>9780520954854</v>
      </c>
      <c r="C550" t="s">
        <v>2492</v>
      </c>
      <c r="D550" t="s">
        <v>2493</v>
      </c>
      <c r="E550" t="s">
        <v>69</v>
      </c>
      <c r="F550" t="s">
        <v>74</v>
      </c>
      <c r="G550" t="s">
        <v>2494</v>
      </c>
      <c r="H550" t="s">
        <v>2495</v>
      </c>
    </row>
    <row r="551" spans="1:8" x14ac:dyDescent="0.35">
      <c r="A551" t="s">
        <v>2496</v>
      </c>
      <c r="B551" t="str">
        <f>"9781443812016"</f>
        <v>9781443812016</v>
      </c>
      <c r="C551" t="s">
        <v>2497</v>
      </c>
      <c r="D551" t="s">
        <v>2498</v>
      </c>
      <c r="E551" t="s">
        <v>2326</v>
      </c>
      <c r="G551" t="s">
        <v>39</v>
      </c>
      <c r="H551" t="s">
        <v>2499</v>
      </c>
    </row>
    <row r="552" spans="1:8" x14ac:dyDescent="0.35">
      <c r="A552" t="s">
        <v>2500</v>
      </c>
      <c r="B552" t="str">
        <f>"9781136274336"</f>
        <v>9781136274336</v>
      </c>
      <c r="C552" t="s">
        <v>2501</v>
      </c>
      <c r="D552" t="s">
        <v>2502</v>
      </c>
      <c r="E552" t="s">
        <v>11</v>
      </c>
      <c r="F552" t="s">
        <v>2503</v>
      </c>
      <c r="G552" t="s">
        <v>44</v>
      </c>
      <c r="H552" t="s">
        <v>2504</v>
      </c>
    </row>
    <row r="553" spans="1:8" x14ac:dyDescent="0.35">
      <c r="A553" t="s">
        <v>2505</v>
      </c>
      <c r="B553" t="str">
        <f>"9781136161759"</f>
        <v>9781136161759</v>
      </c>
      <c r="C553" t="s">
        <v>2506</v>
      </c>
      <c r="D553" t="s">
        <v>2507</v>
      </c>
      <c r="E553" t="s">
        <v>11</v>
      </c>
      <c r="F553" t="s">
        <v>2508</v>
      </c>
      <c r="G553" t="s">
        <v>60</v>
      </c>
      <c r="H553" t="s">
        <v>2509</v>
      </c>
    </row>
    <row r="554" spans="1:8" x14ac:dyDescent="0.35">
      <c r="A554" t="s">
        <v>2510</v>
      </c>
      <c r="B554" t="str">
        <f>"9780739179284"</f>
        <v>9780739179284</v>
      </c>
      <c r="C554" t="s">
        <v>2511</v>
      </c>
      <c r="D554" t="s">
        <v>2512</v>
      </c>
      <c r="E554" t="s">
        <v>518</v>
      </c>
      <c r="G554" t="s">
        <v>2513</v>
      </c>
      <c r="H554" t="s">
        <v>2514</v>
      </c>
    </row>
    <row r="555" spans="1:8" x14ac:dyDescent="0.35">
      <c r="A555" t="s">
        <v>2515</v>
      </c>
      <c r="B555" t="str">
        <f>"9780826345257"</f>
        <v>9780826345257</v>
      </c>
      <c r="C555" t="s">
        <v>2516</v>
      </c>
      <c r="D555" t="s">
        <v>2517</v>
      </c>
      <c r="E555" t="s">
        <v>2439</v>
      </c>
      <c r="F555" t="s">
        <v>2518</v>
      </c>
      <c r="G555" t="s">
        <v>1047</v>
      </c>
      <c r="H555" t="s">
        <v>2519</v>
      </c>
    </row>
    <row r="556" spans="1:8" x14ac:dyDescent="0.35">
      <c r="A556" t="s">
        <v>2520</v>
      </c>
      <c r="B556" t="str">
        <f>"9780826351074"</f>
        <v>9780826351074</v>
      </c>
      <c r="C556" t="s">
        <v>2521</v>
      </c>
      <c r="D556" t="s">
        <v>2522</v>
      </c>
      <c r="E556" t="s">
        <v>2439</v>
      </c>
      <c r="F556" t="s">
        <v>2523</v>
      </c>
      <c r="G556" t="s">
        <v>2524</v>
      </c>
      <c r="H556" t="s">
        <v>2525</v>
      </c>
    </row>
    <row r="557" spans="1:8" x14ac:dyDescent="0.35">
      <c r="A557" t="s">
        <v>2526</v>
      </c>
      <c r="B557" t="str">
        <f>"9780826348661"</f>
        <v>9780826348661</v>
      </c>
      <c r="C557" t="s">
        <v>2527</v>
      </c>
      <c r="D557" t="s">
        <v>2528</v>
      </c>
      <c r="E557" t="s">
        <v>2439</v>
      </c>
      <c r="G557" t="s">
        <v>44</v>
      </c>
      <c r="H557" t="s">
        <v>2529</v>
      </c>
    </row>
    <row r="558" spans="1:8" x14ac:dyDescent="0.35">
      <c r="A558" t="s">
        <v>2530</v>
      </c>
      <c r="B558" t="str">
        <f>"9780826342737"</f>
        <v>9780826342737</v>
      </c>
      <c r="C558" t="s">
        <v>2531</v>
      </c>
      <c r="D558" t="s">
        <v>2532</v>
      </c>
      <c r="E558" t="s">
        <v>2439</v>
      </c>
      <c r="G558" t="s">
        <v>60</v>
      </c>
      <c r="H558" t="s">
        <v>2533</v>
      </c>
    </row>
    <row r="559" spans="1:8" x14ac:dyDescent="0.35">
      <c r="A559" t="s">
        <v>2534</v>
      </c>
      <c r="B559" t="str">
        <f>"9780826350824"</f>
        <v>9780826350824</v>
      </c>
      <c r="C559" t="s">
        <v>2535</v>
      </c>
      <c r="D559" t="s">
        <v>2536</v>
      </c>
      <c r="E559" t="s">
        <v>2439</v>
      </c>
      <c r="F559" t="s">
        <v>2523</v>
      </c>
      <c r="G559" t="s">
        <v>112</v>
      </c>
      <c r="H559" t="s">
        <v>2537</v>
      </c>
    </row>
    <row r="560" spans="1:8" x14ac:dyDescent="0.35">
      <c r="A560" t="s">
        <v>2538</v>
      </c>
      <c r="B560" t="str">
        <f>"9780826349521"</f>
        <v>9780826349521</v>
      </c>
      <c r="C560" t="s">
        <v>2539</v>
      </c>
      <c r="D560" t="s">
        <v>2540</v>
      </c>
      <c r="E560" t="s">
        <v>2439</v>
      </c>
      <c r="G560" t="s">
        <v>186</v>
      </c>
      <c r="H560" t="s">
        <v>2541</v>
      </c>
    </row>
    <row r="561" spans="1:8" x14ac:dyDescent="0.35">
      <c r="A561" t="s">
        <v>2542</v>
      </c>
      <c r="B561" t="str">
        <f>"9780826349248"</f>
        <v>9780826349248</v>
      </c>
      <c r="C561" t="s">
        <v>2543</v>
      </c>
      <c r="D561" t="s">
        <v>2544</v>
      </c>
      <c r="E561" t="s">
        <v>2439</v>
      </c>
      <c r="G561" t="s">
        <v>39</v>
      </c>
      <c r="H561" t="s">
        <v>2545</v>
      </c>
    </row>
    <row r="562" spans="1:8" x14ac:dyDescent="0.35">
      <c r="A562" t="s">
        <v>2546</v>
      </c>
      <c r="B562" t="str">
        <f>"9780826349422"</f>
        <v>9780826349422</v>
      </c>
      <c r="C562" t="s">
        <v>2547</v>
      </c>
      <c r="D562" t="s">
        <v>2548</v>
      </c>
      <c r="E562" t="s">
        <v>2439</v>
      </c>
      <c r="G562" t="s">
        <v>44</v>
      </c>
      <c r="H562" t="s">
        <v>2549</v>
      </c>
    </row>
    <row r="563" spans="1:8" x14ac:dyDescent="0.35">
      <c r="A563" t="s">
        <v>2550</v>
      </c>
      <c r="B563" t="str">
        <f>"9780826348357"</f>
        <v>9780826348357</v>
      </c>
      <c r="C563" t="s">
        <v>2551</v>
      </c>
      <c r="D563" t="s">
        <v>2552</v>
      </c>
      <c r="E563" t="s">
        <v>2439</v>
      </c>
      <c r="G563" t="s">
        <v>186</v>
      </c>
      <c r="H563" t="s">
        <v>2553</v>
      </c>
    </row>
    <row r="564" spans="1:8" x14ac:dyDescent="0.35">
      <c r="A564" t="s">
        <v>2554</v>
      </c>
      <c r="B564" t="str">
        <f>"9780826328564"</f>
        <v>9780826328564</v>
      </c>
      <c r="C564" t="s">
        <v>2555</v>
      </c>
      <c r="D564" t="s">
        <v>2556</v>
      </c>
      <c r="E564" t="s">
        <v>2439</v>
      </c>
      <c r="G564" t="s">
        <v>60</v>
      </c>
      <c r="H564" t="s">
        <v>2557</v>
      </c>
    </row>
    <row r="565" spans="1:8" x14ac:dyDescent="0.35">
      <c r="A565" t="s">
        <v>2558</v>
      </c>
      <c r="B565" t="str">
        <f>"9780826351180"</f>
        <v>9780826351180</v>
      </c>
      <c r="C565" t="s">
        <v>2559</v>
      </c>
      <c r="D565" t="s">
        <v>2560</v>
      </c>
      <c r="E565" t="s">
        <v>2439</v>
      </c>
      <c r="G565" t="s">
        <v>186</v>
      </c>
      <c r="H565" t="s">
        <v>2561</v>
      </c>
    </row>
    <row r="566" spans="1:8" x14ac:dyDescent="0.35">
      <c r="A566" t="s">
        <v>2562</v>
      </c>
      <c r="B566" t="str">
        <f>"9780826340689"</f>
        <v>9780826340689</v>
      </c>
      <c r="C566" t="s">
        <v>2563</v>
      </c>
      <c r="D566" t="s">
        <v>2564</v>
      </c>
      <c r="E566" t="s">
        <v>2439</v>
      </c>
      <c r="G566" t="s">
        <v>55</v>
      </c>
      <c r="H566" t="s">
        <v>2565</v>
      </c>
    </row>
    <row r="567" spans="1:8" x14ac:dyDescent="0.35">
      <c r="A567" t="s">
        <v>2566</v>
      </c>
      <c r="B567" t="str">
        <f>"9780826343833"</f>
        <v>9780826343833</v>
      </c>
      <c r="C567" t="s">
        <v>2567</v>
      </c>
      <c r="D567" t="s">
        <v>2568</v>
      </c>
      <c r="E567" t="s">
        <v>2439</v>
      </c>
      <c r="G567" t="s">
        <v>112</v>
      </c>
      <c r="H567" t="s">
        <v>2569</v>
      </c>
    </row>
    <row r="568" spans="1:8" x14ac:dyDescent="0.35">
      <c r="A568" t="s">
        <v>2570</v>
      </c>
      <c r="B568" t="str">
        <f>"9780826351173"</f>
        <v>9780826351173</v>
      </c>
      <c r="C568" t="s">
        <v>2571</v>
      </c>
      <c r="D568" t="s">
        <v>2572</v>
      </c>
      <c r="E568" t="s">
        <v>2439</v>
      </c>
      <c r="G568" t="s">
        <v>44</v>
      </c>
      <c r="H568" t="s">
        <v>2573</v>
      </c>
    </row>
    <row r="569" spans="1:8" x14ac:dyDescent="0.35">
      <c r="A569" t="s">
        <v>2574</v>
      </c>
      <c r="B569" t="str">
        <f>"9780826348968"</f>
        <v>9780826348968</v>
      </c>
      <c r="C569" t="s">
        <v>2575</v>
      </c>
      <c r="D569" t="s">
        <v>2576</v>
      </c>
      <c r="E569" t="s">
        <v>2439</v>
      </c>
      <c r="G569" t="s">
        <v>39</v>
      </c>
      <c r="H569" t="s">
        <v>2577</v>
      </c>
    </row>
    <row r="570" spans="1:8" x14ac:dyDescent="0.35">
      <c r="A570" t="s">
        <v>2578</v>
      </c>
      <c r="B570" t="str">
        <f>"9780826349774"</f>
        <v>9780826349774</v>
      </c>
      <c r="C570" t="s">
        <v>2579</v>
      </c>
      <c r="D570" t="s">
        <v>2580</v>
      </c>
      <c r="E570" t="s">
        <v>2439</v>
      </c>
      <c r="F570" t="s">
        <v>2581</v>
      </c>
      <c r="G570" t="s">
        <v>186</v>
      </c>
      <c r="H570" t="s">
        <v>2582</v>
      </c>
    </row>
    <row r="571" spans="1:8" x14ac:dyDescent="0.35">
      <c r="A571" t="s">
        <v>2583</v>
      </c>
      <c r="B571" t="str">
        <f>"9780826344915"</f>
        <v>9780826344915</v>
      </c>
      <c r="C571" t="s">
        <v>2584</v>
      </c>
      <c r="D571" t="s">
        <v>2585</v>
      </c>
      <c r="E571" t="s">
        <v>2439</v>
      </c>
      <c r="G571" t="s">
        <v>22</v>
      </c>
      <c r="H571" t="s">
        <v>2586</v>
      </c>
    </row>
    <row r="572" spans="1:8" x14ac:dyDescent="0.35">
      <c r="A572" t="s">
        <v>2587</v>
      </c>
      <c r="B572" t="str">
        <f>"9780826348555"</f>
        <v>9780826348555</v>
      </c>
      <c r="C572" t="s">
        <v>2588</v>
      </c>
      <c r="D572" t="s">
        <v>2589</v>
      </c>
      <c r="E572" t="s">
        <v>2439</v>
      </c>
      <c r="F572" t="s">
        <v>2581</v>
      </c>
      <c r="G572" t="s">
        <v>186</v>
      </c>
      <c r="H572" t="s">
        <v>2590</v>
      </c>
    </row>
    <row r="573" spans="1:8" x14ac:dyDescent="0.35">
      <c r="A573" t="s">
        <v>2591</v>
      </c>
      <c r="B573" t="str">
        <f>"9780826349729"</f>
        <v>9780826349729</v>
      </c>
      <c r="C573" t="s">
        <v>2592</v>
      </c>
      <c r="D573" t="s">
        <v>2593</v>
      </c>
      <c r="E573" t="s">
        <v>2439</v>
      </c>
      <c r="F573" t="s">
        <v>2594</v>
      </c>
      <c r="G573" t="s">
        <v>60</v>
      </c>
      <c r="H573" t="s">
        <v>2595</v>
      </c>
    </row>
    <row r="574" spans="1:8" x14ac:dyDescent="0.35">
      <c r="A574" t="s">
        <v>2596</v>
      </c>
      <c r="B574" t="str">
        <f>"9780826350855"</f>
        <v>9780826350855</v>
      </c>
      <c r="C574" t="s">
        <v>2597</v>
      </c>
      <c r="D574" t="s">
        <v>2598</v>
      </c>
      <c r="E574" t="s">
        <v>2439</v>
      </c>
      <c r="G574" t="s">
        <v>44</v>
      </c>
      <c r="H574" t="s">
        <v>2599</v>
      </c>
    </row>
    <row r="575" spans="1:8" x14ac:dyDescent="0.35">
      <c r="A575" t="s">
        <v>2600</v>
      </c>
      <c r="B575" t="str">
        <f>"9780826351029"</f>
        <v>9780826351029</v>
      </c>
      <c r="C575" t="s">
        <v>2601</v>
      </c>
      <c r="D575" t="s">
        <v>2602</v>
      </c>
      <c r="E575" t="s">
        <v>2439</v>
      </c>
      <c r="F575" t="s">
        <v>2594</v>
      </c>
      <c r="G575" t="s">
        <v>60</v>
      </c>
      <c r="H575" t="s">
        <v>2603</v>
      </c>
    </row>
    <row r="576" spans="1:8" x14ac:dyDescent="0.35">
      <c r="A576" t="s">
        <v>2604</v>
      </c>
      <c r="B576" t="str">
        <f>"9780813043722"</f>
        <v>9780813043722</v>
      </c>
      <c r="C576" t="s">
        <v>2605</v>
      </c>
      <c r="D576" t="s">
        <v>2606</v>
      </c>
      <c r="E576" t="s">
        <v>1788</v>
      </c>
      <c r="G576" t="s">
        <v>44</v>
      </c>
      <c r="H576" t="s">
        <v>2607</v>
      </c>
    </row>
    <row r="577" spans="1:8" x14ac:dyDescent="0.35">
      <c r="A577" t="s">
        <v>2608</v>
      </c>
      <c r="B577" t="str">
        <f>"9780739179888"</f>
        <v>9780739179888</v>
      </c>
      <c r="C577" t="s">
        <v>2609</v>
      </c>
      <c r="D577" t="s">
        <v>2610</v>
      </c>
      <c r="E577" t="s">
        <v>518</v>
      </c>
      <c r="G577" t="s">
        <v>803</v>
      </c>
      <c r="H577" t="s">
        <v>2611</v>
      </c>
    </row>
    <row r="578" spans="1:8" x14ac:dyDescent="0.35">
      <c r="A578" t="s">
        <v>2612</v>
      </c>
      <c r="B578" t="str">
        <f>"9781469608075"</f>
        <v>9781469608075</v>
      </c>
      <c r="C578" t="s">
        <v>2613</v>
      </c>
      <c r="D578" t="s">
        <v>2614</v>
      </c>
      <c r="E578" t="s">
        <v>328</v>
      </c>
      <c r="F578" t="s">
        <v>2615</v>
      </c>
      <c r="G578" t="s">
        <v>55</v>
      </c>
      <c r="H578" t="s">
        <v>2616</v>
      </c>
    </row>
    <row r="579" spans="1:8" x14ac:dyDescent="0.35">
      <c r="A579" t="s">
        <v>2617</v>
      </c>
      <c r="B579" t="str">
        <f>"9781469600246"</f>
        <v>9781469600246</v>
      </c>
      <c r="C579" t="s">
        <v>2618</v>
      </c>
      <c r="D579" t="s">
        <v>2619</v>
      </c>
      <c r="E579" t="s">
        <v>328</v>
      </c>
      <c r="G579" t="s">
        <v>44</v>
      </c>
      <c r="H579" t="s">
        <v>2620</v>
      </c>
    </row>
    <row r="580" spans="1:8" x14ac:dyDescent="0.35">
      <c r="A580" t="s">
        <v>2621</v>
      </c>
      <c r="B580" t="str">
        <f>"9780813045009"</f>
        <v>9780813045009</v>
      </c>
      <c r="C580" t="s">
        <v>2622</v>
      </c>
      <c r="D580" t="s">
        <v>2623</v>
      </c>
      <c r="E580" t="s">
        <v>1788</v>
      </c>
      <c r="G580" t="s">
        <v>2624</v>
      </c>
      <c r="H580" t="s">
        <v>2625</v>
      </c>
    </row>
    <row r="581" spans="1:8" x14ac:dyDescent="0.35">
      <c r="A581" t="s">
        <v>2626</v>
      </c>
      <c r="B581" t="str">
        <f>"9780804772969"</f>
        <v>9780804772969</v>
      </c>
      <c r="C581" t="s">
        <v>2627</v>
      </c>
      <c r="D581" t="s">
        <v>2628</v>
      </c>
      <c r="E581" t="s">
        <v>680</v>
      </c>
      <c r="G581" t="s">
        <v>305</v>
      </c>
      <c r="H581" t="s">
        <v>2629</v>
      </c>
    </row>
    <row r="582" spans="1:8" x14ac:dyDescent="0.35">
      <c r="A582" t="s">
        <v>2630</v>
      </c>
      <c r="B582" t="str">
        <f>"9781848135697"</f>
        <v>9781848135697</v>
      </c>
      <c r="C582" t="s">
        <v>2631</v>
      </c>
      <c r="D582" t="s">
        <v>2632</v>
      </c>
      <c r="E582" t="s">
        <v>694</v>
      </c>
      <c r="G582" t="s">
        <v>133</v>
      </c>
      <c r="H582" t="s">
        <v>2633</v>
      </c>
    </row>
    <row r="583" spans="1:8" x14ac:dyDescent="0.35">
      <c r="A583" t="s">
        <v>2634</v>
      </c>
      <c r="B583" t="str">
        <f>"9781442206533"</f>
        <v>9781442206533</v>
      </c>
      <c r="C583" t="s">
        <v>2635</v>
      </c>
      <c r="D583" t="s">
        <v>2636</v>
      </c>
      <c r="E583" t="s">
        <v>524</v>
      </c>
      <c r="G583" t="s">
        <v>17</v>
      </c>
      <c r="H583" t="s">
        <v>2637</v>
      </c>
    </row>
    <row r="584" spans="1:8" x14ac:dyDescent="0.35">
      <c r="A584" t="s">
        <v>2638</v>
      </c>
      <c r="B584" t="str">
        <f>"9781593327118"</f>
        <v>9781593327118</v>
      </c>
      <c r="C584" t="s">
        <v>2639</v>
      </c>
      <c r="D584" t="s">
        <v>2640</v>
      </c>
      <c r="E584" t="s">
        <v>2238</v>
      </c>
      <c r="F584" t="s">
        <v>2641</v>
      </c>
      <c r="G584" t="s">
        <v>39</v>
      </c>
      <c r="H584" t="s">
        <v>2642</v>
      </c>
    </row>
    <row r="585" spans="1:8" x14ac:dyDescent="0.35">
      <c r="A585" t="s">
        <v>2643</v>
      </c>
      <c r="B585" t="str">
        <f>"9781443830393"</f>
        <v>9781443830393</v>
      </c>
      <c r="C585" t="s">
        <v>2644</v>
      </c>
      <c r="D585" t="s">
        <v>2645</v>
      </c>
      <c r="E585" t="s">
        <v>2326</v>
      </c>
      <c r="G585" t="s">
        <v>139</v>
      </c>
      <c r="H585" t="s">
        <v>2646</v>
      </c>
    </row>
    <row r="586" spans="1:8" x14ac:dyDescent="0.35">
      <c r="A586" t="s">
        <v>2647</v>
      </c>
      <c r="B586" t="str">
        <f>"9781443810289"</f>
        <v>9781443810289</v>
      </c>
      <c r="C586" t="s">
        <v>2648</v>
      </c>
      <c r="D586" t="s">
        <v>2649</v>
      </c>
      <c r="E586" t="s">
        <v>2326</v>
      </c>
      <c r="G586" t="s">
        <v>60</v>
      </c>
      <c r="H586" t="s">
        <v>2650</v>
      </c>
    </row>
    <row r="587" spans="1:8" x14ac:dyDescent="0.35">
      <c r="A587" t="s">
        <v>2651</v>
      </c>
      <c r="B587" t="str">
        <f>"9781443846462"</f>
        <v>9781443846462</v>
      </c>
      <c r="C587" t="s">
        <v>2652</v>
      </c>
      <c r="D587" t="s">
        <v>2653</v>
      </c>
      <c r="E587" t="s">
        <v>2326</v>
      </c>
      <c r="G587" t="s">
        <v>2654</v>
      </c>
      <c r="H587" t="s">
        <v>2655</v>
      </c>
    </row>
    <row r="588" spans="1:8" x14ac:dyDescent="0.35">
      <c r="A588" t="s">
        <v>2656</v>
      </c>
      <c r="B588" t="str">
        <f>"9781443847100"</f>
        <v>9781443847100</v>
      </c>
      <c r="C588" t="s">
        <v>2657</v>
      </c>
      <c r="D588" t="s">
        <v>2658</v>
      </c>
      <c r="E588" t="s">
        <v>2326</v>
      </c>
      <c r="G588" t="s">
        <v>2494</v>
      </c>
      <c r="H588" t="s">
        <v>2659</v>
      </c>
    </row>
    <row r="589" spans="1:8" x14ac:dyDescent="0.35">
      <c r="A589" t="s">
        <v>2660</v>
      </c>
      <c r="B589" t="str">
        <f>"9781443838177"</f>
        <v>9781443838177</v>
      </c>
      <c r="C589" t="s">
        <v>2661</v>
      </c>
      <c r="D589" t="s">
        <v>2662</v>
      </c>
      <c r="E589" t="s">
        <v>2326</v>
      </c>
      <c r="G589" t="s">
        <v>17</v>
      </c>
      <c r="H589" t="s">
        <v>2663</v>
      </c>
    </row>
    <row r="590" spans="1:8" x14ac:dyDescent="0.35">
      <c r="A590" t="s">
        <v>2664</v>
      </c>
      <c r="B590" t="str">
        <f>"9781443803113"</f>
        <v>9781443803113</v>
      </c>
      <c r="C590" t="s">
        <v>2665</v>
      </c>
      <c r="D590" t="s">
        <v>2666</v>
      </c>
      <c r="E590" t="s">
        <v>2326</v>
      </c>
      <c r="G590" t="s">
        <v>55</v>
      </c>
      <c r="H590" t="s">
        <v>2667</v>
      </c>
    </row>
    <row r="591" spans="1:8" x14ac:dyDescent="0.35">
      <c r="A591" t="s">
        <v>2668</v>
      </c>
      <c r="B591" t="str">
        <f>"9781602585539"</f>
        <v>9781602585539</v>
      </c>
      <c r="C591" t="s">
        <v>2669</v>
      </c>
      <c r="D591" t="s">
        <v>2670</v>
      </c>
      <c r="E591" t="s">
        <v>2671</v>
      </c>
      <c r="F591" t="s">
        <v>2672</v>
      </c>
      <c r="G591" t="s">
        <v>186</v>
      </c>
      <c r="H591" t="s">
        <v>2673</v>
      </c>
    </row>
    <row r="592" spans="1:8" x14ac:dyDescent="0.35">
      <c r="A592" t="s">
        <v>2674</v>
      </c>
      <c r="B592" t="str">
        <f>"9781107333413"</f>
        <v>9781107333413</v>
      </c>
      <c r="C592" t="s">
        <v>2675</v>
      </c>
      <c r="D592" t="s">
        <v>2676</v>
      </c>
      <c r="E592" t="s">
        <v>304</v>
      </c>
      <c r="G592" t="s">
        <v>39</v>
      </c>
      <c r="H592" t="s">
        <v>2677</v>
      </c>
    </row>
    <row r="593" spans="1:8" x14ac:dyDescent="0.35">
      <c r="A593" t="s">
        <v>2678</v>
      </c>
      <c r="B593" t="str">
        <f>"9781107348059"</f>
        <v>9781107348059</v>
      </c>
      <c r="C593" t="s">
        <v>2679</v>
      </c>
      <c r="D593" t="s">
        <v>2680</v>
      </c>
      <c r="E593" t="s">
        <v>304</v>
      </c>
      <c r="G593" t="s">
        <v>305</v>
      </c>
      <c r="H593" t="s">
        <v>2681</v>
      </c>
    </row>
    <row r="594" spans="1:8" x14ac:dyDescent="0.35">
      <c r="A594" t="s">
        <v>2682</v>
      </c>
      <c r="B594" t="str">
        <f>"9781107348264"</f>
        <v>9781107348264</v>
      </c>
      <c r="C594" t="s">
        <v>2683</v>
      </c>
      <c r="D594" t="s">
        <v>2684</v>
      </c>
      <c r="E594" t="s">
        <v>304</v>
      </c>
      <c r="G594" t="s">
        <v>1116</v>
      </c>
      <c r="H594" t="s">
        <v>2685</v>
      </c>
    </row>
    <row r="595" spans="1:8" x14ac:dyDescent="0.35">
      <c r="A595" t="s">
        <v>2686</v>
      </c>
      <c r="B595" t="str">
        <f>"9781107348431"</f>
        <v>9781107348431</v>
      </c>
      <c r="C595" t="s">
        <v>2687</v>
      </c>
      <c r="D595" t="s">
        <v>2688</v>
      </c>
      <c r="E595" t="s">
        <v>304</v>
      </c>
      <c r="G595" t="s">
        <v>376</v>
      </c>
      <c r="H595" t="s">
        <v>2689</v>
      </c>
    </row>
    <row r="596" spans="1:8" x14ac:dyDescent="0.35">
      <c r="A596" t="s">
        <v>2690</v>
      </c>
      <c r="B596" t="str">
        <f>"9781135280307"</f>
        <v>9781135280307</v>
      </c>
      <c r="C596" t="s">
        <v>2691</v>
      </c>
      <c r="D596" t="s">
        <v>2692</v>
      </c>
      <c r="E596" t="s">
        <v>11</v>
      </c>
      <c r="G596" t="s">
        <v>305</v>
      </c>
      <c r="H596" t="s">
        <v>2693</v>
      </c>
    </row>
    <row r="597" spans="1:8" x14ac:dyDescent="0.35">
      <c r="A597" t="s">
        <v>2694</v>
      </c>
      <c r="B597" t="str">
        <f>"9781136188961"</f>
        <v>9781136188961</v>
      </c>
      <c r="C597" t="s">
        <v>2695</v>
      </c>
      <c r="D597" t="s">
        <v>2696</v>
      </c>
      <c r="E597" t="s">
        <v>11</v>
      </c>
      <c r="G597" t="s">
        <v>28</v>
      </c>
      <c r="H597" t="s">
        <v>2697</v>
      </c>
    </row>
    <row r="598" spans="1:8" x14ac:dyDescent="0.35">
      <c r="A598" t="s">
        <v>2698</v>
      </c>
      <c r="B598" t="str">
        <f>"9781135085568"</f>
        <v>9781135085568</v>
      </c>
      <c r="C598" t="s">
        <v>2699</v>
      </c>
      <c r="D598" t="s">
        <v>2700</v>
      </c>
      <c r="E598" t="s">
        <v>11</v>
      </c>
      <c r="F598" t="s">
        <v>2701</v>
      </c>
      <c r="G598" t="s">
        <v>2702</v>
      </c>
      <c r="H598" t="s">
        <v>2703</v>
      </c>
    </row>
    <row r="599" spans="1:8" x14ac:dyDescent="0.35">
      <c r="A599" t="s">
        <v>2704</v>
      </c>
      <c r="B599" t="str">
        <f>"9780826353122"</f>
        <v>9780826353122</v>
      </c>
      <c r="C599" t="s">
        <v>2705</v>
      </c>
      <c r="D599" t="s">
        <v>2706</v>
      </c>
      <c r="E599" t="s">
        <v>2439</v>
      </c>
      <c r="G599" t="s">
        <v>39</v>
      </c>
      <c r="H599" t="s">
        <v>2707</v>
      </c>
    </row>
    <row r="600" spans="1:8" x14ac:dyDescent="0.35">
      <c r="A600" t="s">
        <v>2708</v>
      </c>
      <c r="B600" t="str">
        <f>"9780813560724"</f>
        <v>9780813560724</v>
      </c>
      <c r="C600" t="s">
        <v>2709</v>
      </c>
      <c r="D600" t="s">
        <v>2710</v>
      </c>
      <c r="E600" t="s">
        <v>299</v>
      </c>
      <c r="F600" t="s">
        <v>1447</v>
      </c>
      <c r="G600" t="s">
        <v>55</v>
      </c>
      <c r="H600" t="s">
        <v>2711</v>
      </c>
    </row>
    <row r="601" spans="1:8" x14ac:dyDescent="0.35">
      <c r="A601" t="s">
        <v>2712</v>
      </c>
      <c r="B601" t="str">
        <f>"9781136179631"</f>
        <v>9781136179631</v>
      </c>
      <c r="C601" t="s">
        <v>2713</v>
      </c>
      <c r="D601" t="s">
        <v>2714</v>
      </c>
      <c r="E601" t="s">
        <v>11</v>
      </c>
      <c r="F601" t="s">
        <v>2715</v>
      </c>
      <c r="G601" t="s">
        <v>376</v>
      </c>
      <c r="H601" t="s">
        <v>2716</v>
      </c>
    </row>
    <row r="602" spans="1:8" x14ac:dyDescent="0.35">
      <c r="A602" t="s">
        <v>2717</v>
      </c>
      <c r="B602" t="str">
        <f>"9780810886377"</f>
        <v>9780810886377</v>
      </c>
      <c r="C602" t="s">
        <v>2718</v>
      </c>
      <c r="D602" t="s">
        <v>2719</v>
      </c>
      <c r="E602" t="s">
        <v>530</v>
      </c>
      <c r="F602" t="s">
        <v>2720</v>
      </c>
      <c r="G602" t="s">
        <v>2721</v>
      </c>
      <c r="H602" t="s">
        <v>2722</v>
      </c>
    </row>
    <row r="603" spans="1:8" x14ac:dyDescent="0.35">
      <c r="A603" t="s">
        <v>2723</v>
      </c>
      <c r="B603" t="str">
        <f>"9780816681884"</f>
        <v>9780816681884</v>
      </c>
      <c r="C603" t="s">
        <v>2724</v>
      </c>
      <c r="D603" t="s">
        <v>2725</v>
      </c>
      <c r="E603" t="s">
        <v>273</v>
      </c>
      <c r="G603" t="s">
        <v>60</v>
      </c>
      <c r="H603" t="s">
        <v>2726</v>
      </c>
    </row>
    <row r="604" spans="1:8" x14ac:dyDescent="0.35">
      <c r="A604" t="s">
        <v>2727</v>
      </c>
      <c r="B604" t="str">
        <f>"9780804786188"</f>
        <v>9780804786188</v>
      </c>
      <c r="C604" t="s">
        <v>2728</v>
      </c>
      <c r="D604" t="s">
        <v>2729</v>
      </c>
      <c r="E604" t="s">
        <v>680</v>
      </c>
      <c r="G604" t="s">
        <v>2730</v>
      </c>
      <c r="H604" t="s">
        <v>2731</v>
      </c>
    </row>
    <row r="605" spans="1:8" x14ac:dyDescent="0.35">
      <c r="A605" t="s">
        <v>2732</v>
      </c>
      <c r="B605" t="str">
        <f>"9781609948887"</f>
        <v>9781609948887</v>
      </c>
      <c r="C605" t="s">
        <v>2733</v>
      </c>
      <c r="D605" t="s">
        <v>2734</v>
      </c>
      <c r="E605" t="s">
        <v>2735</v>
      </c>
      <c r="G605" t="s">
        <v>44</v>
      </c>
      <c r="H605" t="s">
        <v>2736</v>
      </c>
    </row>
    <row r="606" spans="1:8" x14ac:dyDescent="0.35">
      <c r="A606" t="s">
        <v>2737</v>
      </c>
      <c r="B606" t="str">
        <f>"9780199898343"</f>
        <v>9780199898343</v>
      </c>
      <c r="C606" t="s">
        <v>2738</v>
      </c>
      <c r="D606" t="s">
        <v>2739</v>
      </c>
      <c r="E606" t="s">
        <v>355</v>
      </c>
      <c r="G606" t="s">
        <v>96</v>
      </c>
      <c r="H606" t="s">
        <v>2740</v>
      </c>
    </row>
    <row r="607" spans="1:8" x14ac:dyDescent="0.35">
      <c r="A607" t="s">
        <v>2741</v>
      </c>
      <c r="B607" t="str">
        <f>"9780199717705"</f>
        <v>9780199717705</v>
      </c>
      <c r="C607" t="s">
        <v>2742</v>
      </c>
      <c r="D607" t="s">
        <v>2743</v>
      </c>
      <c r="E607" t="s">
        <v>355</v>
      </c>
      <c r="G607" t="s">
        <v>83</v>
      </c>
      <c r="H607" t="s">
        <v>2744</v>
      </c>
    </row>
    <row r="608" spans="1:8" x14ac:dyDescent="0.35">
      <c r="A608" t="s">
        <v>2745</v>
      </c>
      <c r="B608" t="str">
        <f>"9781443822398"</f>
        <v>9781443822398</v>
      </c>
      <c r="C608" t="s">
        <v>2746</v>
      </c>
      <c r="D608" t="s">
        <v>2747</v>
      </c>
      <c r="E608" t="s">
        <v>2326</v>
      </c>
      <c r="G608" t="s">
        <v>60</v>
      </c>
      <c r="H608" t="s">
        <v>2748</v>
      </c>
    </row>
    <row r="609" spans="1:8" x14ac:dyDescent="0.35">
      <c r="A609" t="s">
        <v>2749</v>
      </c>
      <c r="B609" t="str">
        <f>"9781442213005"</f>
        <v>9781442213005</v>
      </c>
      <c r="C609" t="s">
        <v>2750</v>
      </c>
      <c r="D609" t="s">
        <v>2751</v>
      </c>
      <c r="E609" t="s">
        <v>524</v>
      </c>
      <c r="F609" t="s">
        <v>2752</v>
      </c>
      <c r="G609" t="s">
        <v>44</v>
      </c>
      <c r="H609" t="s">
        <v>2753</v>
      </c>
    </row>
    <row r="610" spans="1:8" x14ac:dyDescent="0.35">
      <c r="A610" t="s">
        <v>2754</v>
      </c>
      <c r="B610" t="str">
        <f>"9781136775369"</f>
        <v>9781136775369</v>
      </c>
      <c r="C610" t="s">
        <v>2755</v>
      </c>
      <c r="D610" t="s">
        <v>2756</v>
      </c>
      <c r="E610" t="s">
        <v>11</v>
      </c>
      <c r="F610" t="s">
        <v>2757</v>
      </c>
      <c r="G610" t="s">
        <v>39</v>
      </c>
      <c r="H610" t="s">
        <v>2758</v>
      </c>
    </row>
    <row r="611" spans="1:8" x14ac:dyDescent="0.35">
      <c r="A611" t="s">
        <v>2759</v>
      </c>
      <c r="B611" t="str">
        <f>"9780820344768"</f>
        <v>9780820344768</v>
      </c>
      <c r="C611" t="s">
        <v>2760</v>
      </c>
      <c r="D611" t="s">
        <v>2761</v>
      </c>
      <c r="E611" t="s">
        <v>2762</v>
      </c>
      <c r="F611" t="s">
        <v>2763</v>
      </c>
      <c r="G611" t="s">
        <v>1116</v>
      </c>
      <c r="H611" t="s">
        <v>2764</v>
      </c>
    </row>
    <row r="612" spans="1:8" x14ac:dyDescent="0.35">
      <c r="A612" t="s">
        <v>2765</v>
      </c>
      <c r="B612" t="str">
        <f>"9781135933296"</f>
        <v>9781135933296</v>
      </c>
      <c r="C612" t="s">
        <v>2766</v>
      </c>
      <c r="D612" t="s">
        <v>2767</v>
      </c>
      <c r="E612" t="s">
        <v>11</v>
      </c>
      <c r="G612" t="s">
        <v>2768</v>
      </c>
      <c r="H612" t="s">
        <v>2769</v>
      </c>
    </row>
    <row r="613" spans="1:8" x14ac:dyDescent="0.35">
      <c r="A613" t="s">
        <v>2770</v>
      </c>
      <c r="B613" t="str">
        <f>"9781603449632"</f>
        <v>9781603449632</v>
      </c>
      <c r="C613" t="s">
        <v>2771</v>
      </c>
      <c r="D613" t="s">
        <v>2772</v>
      </c>
      <c r="E613" t="s">
        <v>2225</v>
      </c>
      <c r="G613" t="s">
        <v>39</v>
      </c>
      <c r="H613" t="s">
        <v>2773</v>
      </c>
    </row>
    <row r="614" spans="1:8" x14ac:dyDescent="0.35">
      <c r="A614" t="s">
        <v>2774</v>
      </c>
      <c r="B614" t="str">
        <f>"9781136664304"</f>
        <v>9781136664304</v>
      </c>
      <c r="C614" t="s">
        <v>2775</v>
      </c>
      <c r="D614" t="s">
        <v>2776</v>
      </c>
      <c r="E614" t="s">
        <v>11</v>
      </c>
      <c r="G614" t="s">
        <v>112</v>
      </c>
      <c r="H614" t="s">
        <v>2777</v>
      </c>
    </row>
    <row r="615" spans="1:8" x14ac:dyDescent="0.35">
      <c r="A615" t="s">
        <v>2778</v>
      </c>
      <c r="B615" t="str">
        <f>"9781107058118"</f>
        <v>9781107058118</v>
      </c>
      <c r="C615" t="s">
        <v>2779</v>
      </c>
      <c r="D615" t="s">
        <v>2780</v>
      </c>
      <c r="E615" t="s">
        <v>304</v>
      </c>
      <c r="G615" t="s">
        <v>22</v>
      </c>
      <c r="H615" t="s">
        <v>2781</v>
      </c>
    </row>
    <row r="616" spans="1:8" x14ac:dyDescent="0.35">
      <c r="A616" t="s">
        <v>2782</v>
      </c>
      <c r="B616" t="str">
        <f>"9781107058460"</f>
        <v>9781107058460</v>
      </c>
      <c r="C616" t="s">
        <v>2783</v>
      </c>
      <c r="D616" t="s">
        <v>2784</v>
      </c>
      <c r="E616" t="s">
        <v>304</v>
      </c>
      <c r="G616" t="s">
        <v>1116</v>
      </c>
      <c r="H616" t="s">
        <v>2785</v>
      </c>
    </row>
    <row r="617" spans="1:8" x14ac:dyDescent="0.35">
      <c r="A617" t="s">
        <v>2786</v>
      </c>
      <c r="B617" t="str">
        <f>"9781780323787"</f>
        <v>9781780323787</v>
      </c>
      <c r="C617" t="s">
        <v>2787</v>
      </c>
      <c r="D617" t="s">
        <v>2788</v>
      </c>
      <c r="E617" t="s">
        <v>694</v>
      </c>
      <c r="G617" t="s">
        <v>2789</v>
      </c>
      <c r="H617" t="s">
        <v>2790</v>
      </c>
    </row>
    <row r="618" spans="1:8" x14ac:dyDescent="0.35">
      <c r="A618" t="s">
        <v>2791</v>
      </c>
      <c r="B618" t="str">
        <f>"9780520954793"</f>
        <v>9780520954793</v>
      </c>
      <c r="C618" t="s">
        <v>2792</v>
      </c>
      <c r="D618" t="s">
        <v>2793</v>
      </c>
      <c r="E618" t="s">
        <v>69</v>
      </c>
      <c r="F618" t="s">
        <v>2794</v>
      </c>
      <c r="G618" t="s">
        <v>180</v>
      </c>
      <c r="H618" t="s">
        <v>2795</v>
      </c>
    </row>
    <row r="619" spans="1:8" x14ac:dyDescent="0.35">
      <c r="A619" t="s">
        <v>2796</v>
      </c>
      <c r="B619" t="str">
        <f>"9780803246409"</f>
        <v>9780803246409</v>
      </c>
      <c r="C619" t="s">
        <v>2797</v>
      </c>
      <c r="D619" t="s">
        <v>2798</v>
      </c>
      <c r="E619" t="s">
        <v>1827</v>
      </c>
      <c r="F619" t="s">
        <v>576</v>
      </c>
      <c r="G619" t="s">
        <v>376</v>
      </c>
      <c r="H619" t="s">
        <v>2799</v>
      </c>
    </row>
    <row r="620" spans="1:8" x14ac:dyDescent="0.35">
      <c r="A620" t="s">
        <v>2800</v>
      </c>
      <c r="B620" t="str">
        <f>"9789004251212"</f>
        <v>9789004251212</v>
      </c>
      <c r="C620" t="s">
        <v>2801</v>
      </c>
      <c r="D620" t="s">
        <v>2802</v>
      </c>
      <c r="E620" t="s">
        <v>540</v>
      </c>
      <c r="F620" t="s">
        <v>2803</v>
      </c>
      <c r="G620" t="s">
        <v>44</v>
      </c>
      <c r="H620" t="s">
        <v>2804</v>
      </c>
    </row>
    <row r="621" spans="1:8" x14ac:dyDescent="0.35">
      <c r="A621" t="s">
        <v>2805</v>
      </c>
      <c r="B621" t="str">
        <f>"9781782840169"</f>
        <v>9781782840169</v>
      </c>
      <c r="C621" t="s">
        <v>2806</v>
      </c>
      <c r="D621" t="s">
        <v>2807</v>
      </c>
      <c r="E621" t="s">
        <v>2808</v>
      </c>
      <c r="F621" t="s">
        <v>2809</v>
      </c>
      <c r="G621" t="s">
        <v>44</v>
      </c>
      <c r="H621" t="s">
        <v>2810</v>
      </c>
    </row>
    <row r="622" spans="1:8" x14ac:dyDescent="0.35">
      <c r="A622" t="s">
        <v>2811</v>
      </c>
      <c r="B622" t="str">
        <f>"9780804786102"</f>
        <v>9780804786102</v>
      </c>
      <c r="C622" t="s">
        <v>2812</v>
      </c>
      <c r="D622" t="s">
        <v>2813</v>
      </c>
      <c r="E622" t="s">
        <v>680</v>
      </c>
      <c r="G622" t="s">
        <v>39</v>
      </c>
      <c r="H622" t="s">
        <v>2814</v>
      </c>
    </row>
    <row r="623" spans="1:8" x14ac:dyDescent="0.35">
      <c r="A623" t="s">
        <v>2815</v>
      </c>
      <c r="B623" t="str">
        <f>"9780804786577"</f>
        <v>9780804786577</v>
      </c>
      <c r="C623" t="s">
        <v>2816</v>
      </c>
      <c r="D623" t="s">
        <v>2817</v>
      </c>
      <c r="E623" t="s">
        <v>680</v>
      </c>
      <c r="F623" t="s">
        <v>2118</v>
      </c>
      <c r="G623" t="s">
        <v>2818</v>
      </c>
      <c r="H623" t="s">
        <v>2819</v>
      </c>
    </row>
    <row r="624" spans="1:8" x14ac:dyDescent="0.35">
      <c r="A624" t="s">
        <v>2820</v>
      </c>
      <c r="B624" t="str">
        <f>"9780804786447"</f>
        <v>9780804786447</v>
      </c>
      <c r="C624" t="s">
        <v>2821</v>
      </c>
      <c r="D624" t="s">
        <v>2822</v>
      </c>
      <c r="E624" t="s">
        <v>680</v>
      </c>
      <c r="G624" t="s">
        <v>44</v>
      </c>
      <c r="H624" t="s">
        <v>2823</v>
      </c>
    </row>
    <row r="625" spans="1:8" x14ac:dyDescent="0.35">
      <c r="A625" t="s">
        <v>2824</v>
      </c>
      <c r="B625" t="str">
        <f>"9781603449960"</f>
        <v>9781603449960</v>
      </c>
      <c r="C625" t="s">
        <v>2825</v>
      </c>
      <c r="D625" t="s">
        <v>2826</v>
      </c>
      <c r="E625" t="s">
        <v>2225</v>
      </c>
      <c r="F625" t="s">
        <v>2827</v>
      </c>
      <c r="G625" t="s">
        <v>112</v>
      </c>
      <c r="H625" t="s">
        <v>2828</v>
      </c>
    </row>
    <row r="626" spans="1:8" x14ac:dyDescent="0.35">
      <c r="A626" t="s">
        <v>2829</v>
      </c>
      <c r="B626" t="str">
        <f>"9780739175590"</f>
        <v>9780739175590</v>
      </c>
      <c r="C626" t="s">
        <v>2830</v>
      </c>
      <c r="D626" t="s">
        <v>2831</v>
      </c>
      <c r="E626" t="s">
        <v>518</v>
      </c>
      <c r="G626" t="s">
        <v>2832</v>
      </c>
      <c r="H626" t="s">
        <v>2833</v>
      </c>
    </row>
    <row r="627" spans="1:8" x14ac:dyDescent="0.35">
      <c r="A627" t="s">
        <v>2834</v>
      </c>
      <c r="B627" t="str">
        <f>"9780813048345"</f>
        <v>9780813048345</v>
      </c>
      <c r="C627" t="s">
        <v>2835</v>
      </c>
      <c r="D627" t="s">
        <v>2836</v>
      </c>
      <c r="E627" t="s">
        <v>1788</v>
      </c>
      <c r="F627" t="s">
        <v>2837</v>
      </c>
      <c r="G627" t="s">
        <v>17</v>
      </c>
      <c r="H627" t="s">
        <v>2838</v>
      </c>
    </row>
    <row r="628" spans="1:8" x14ac:dyDescent="0.35">
      <c r="A628" t="s">
        <v>2839</v>
      </c>
      <c r="B628" t="str">
        <f>"9780739159378"</f>
        <v>9780739159378</v>
      </c>
      <c r="C628" t="s">
        <v>2840</v>
      </c>
      <c r="D628" t="s">
        <v>2841</v>
      </c>
      <c r="E628" t="s">
        <v>518</v>
      </c>
      <c r="G628" t="s">
        <v>139</v>
      </c>
      <c r="H628" t="s">
        <v>2842</v>
      </c>
    </row>
    <row r="629" spans="1:8" x14ac:dyDescent="0.35">
      <c r="A629" t="s">
        <v>2843</v>
      </c>
      <c r="B629" t="str">
        <f>"9781611480276"</f>
        <v>9781611480276</v>
      </c>
      <c r="C629" t="s">
        <v>2844</v>
      </c>
      <c r="D629" t="s">
        <v>2845</v>
      </c>
      <c r="E629" t="s">
        <v>1328</v>
      </c>
      <c r="G629" t="s">
        <v>2846</v>
      </c>
      <c r="H629" t="s">
        <v>2847</v>
      </c>
    </row>
    <row r="630" spans="1:8" x14ac:dyDescent="0.35">
      <c r="A630" t="s">
        <v>2848</v>
      </c>
      <c r="B630" t="str">
        <f>"9781135050085"</f>
        <v>9781135050085</v>
      </c>
      <c r="C630" t="s">
        <v>2849</v>
      </c>
      <c r="D630" t="s">
        <v>2850</v>
      </c>
      <c r="E630" t="s">
        <v>11</v>
      </c>
      <c r="F630" t="s">
        <v>445</v>
      </c>
      <c r="G630" t="s">
        <v>44</v>
      </c>
      <c r="H630" t="s">
        <v>2851</v>
      </c>
    </row>
    <row r="631" spans="1:8" x14ac:dyDescent="0.35">
      <c r="A631" t="s">
        <v>2852</v>
      </c>
      <c r="B631" t="str">
        <f>"9781136234422"</f>
        <v>9781136234422</v>
      </c>
      <c r="C631" t="s">
        <v>2853</v>
      </c>
      <c r="D631" t="s">
        <v>2854</v>
      </c>
      <c r="E631" t="s">
        <v>11</v>
      </c>
      <c r="G631" t="s">
        <v>2855</v>
      </c>
      <c r="H631" t="s">
        <v>2856</v>
      </c>
    </row>
    <row r="632" spans="1:8" x14ac:dyDescent="0.35">
      <c r="A632" t="s">
        <v>2857</v>
      </c>
      <c r="B632" t="str">
        <f>"9780804787291"</f>
        <v>9780804787291</v>
      </c>
      <c r="C632" t="s">
        <v>2858</v>
      </c>
      <c r="D632" t="s">
        <v>2859</v>
      </c>
      <c r="E632" t="s">
        <v>680</v>
      </c>
      <c r="G632" t="s">
        <v>112</v>
      </c>
      <c r="H632" t="s">
        <v>2860</v>
      </c>
    </row>
    <row r="633" spans="1:8" x14ac:dyDescent="0.35">
      <c r="A633" t="s">
        <v>2861</v>
      </c>
      <c r="B633" t="str">
        <f>"9781461642800"</f>
        <v>9781461642800</v>
      </c>
      <c r="C633" t="s">
        <v>2862</v>
      </c>
      <c r="D633" t="s">
        <v>2863</v>
      </c>
      <c r="E633" t="s">
        <v>524</v>
      </c>
      <c r="F633" t="s">
        <v>525</v>
      </c>
      <c r="G633" t="s">
        <v>55</v>
      </c>
      <c r="H633" t="s">
        <v>2864</v>
      </c>
    </row>
    <row r="634" spans="1:8" x14ac:dyDescent="0.35">
      <c r="A634" t="s">
        <v>2865</v>
      </c>
      <c r="B634" t="str">
        <f>"9780739143872"</f>
        <v>9780739143872</v>
      </c>
      <c r="C634" t="s">
        <v>2866</v>
      </c>
      <c r="D634" t="s">
        <v>2867</v>
      </c>
      <c r="E634" t="s">
        <v>518</v>
      </c>
      <c r="G634" t="s">
        <v>39</v>
      </c>
      <c r="H634" t="s">
        <v>2868</v>
      </c>
    </row>
    <row r="635" spans="1:8" x14ac:dyDescent="0.35">
      <c r="A635" t="s">
        <v>2869</v>
      </c>
      <c r="B635" t="str">
        <f>"9780826353375"</f>
        <v>9780826353375</v>
      </c>
      <c r="C635" t="s">
        <v>2870</v>
      </c>
      <c r="D635" t="s">
        <v>2871</v>
      </c>
      <c r="E635" t="s">
        <v>2439</v>
      </c>
      <c r="F635" t="s">
        <v>2448</v>
      </c>
      <c r="G635" t="s">
        <v>44</v>
      </c>
      <c r="H635" t="s">
        <v>2872</v>
      </c>
    </row>
    <row r="636" spans="1:8" x14ac:dyDescent="0.35">
      <c r="A636" t="s">
        <v>2873</v>
      </c>
      <c r="B636" t="str">
        <f>"9780810883048"</f>
        <v>9780810883048</v>
      </c>
      <c r="C636" t="s">
        <v>2874</v>
      </c>
      <c r="D636" t="s">
        <v>2719</v>
      </c>
      <c r="E636" t="s">
        <v>530</v>
      </c>
      <c r="G636" t="s">
        <v>531</v>
      </c>
      <c r="H636" t="s">
        <v>2875</v>
      </c>
    </row>
    <row r="637" spans="1:8" x14ac:dyDescent="0.35">
      <c r="A637" t="s">
        <v>2876</v>
      </c>
      <c r="B637" t="str">
        <f>"9780815722557"</f>
        <v>9780815722557</v>
      </c>
      <c r="C637" t="s">
        <v>2877</v>
      </c>
      <c r="D637" t="s">
        <v>2878</v>
      </c>
      <c r="E637" t="s">
        <v>156</v>
      </c>
      <c r="G637" t="s">
        <v>376</v>
      </c>
      <c r="H637" t="s">
        <v>2879</v>
      </c>
    </row>
    <row r="638" spans="1:8" x14ac:dyDescent="0.35">
      <c r="A638" t="s">
        <v>2880</v>
      </c>
      <c r="B638" t="str">
        <f>"9781603449502"</f>
        <v>9781603449502</v>
      </c>
      <c r="C638" t="s">
        <v>2881</v>
      </c>
      <c r="D638" t="s">
        <v>2882</v>
      </c>
      <c r="E638" t="s">
        <v>2225</v>
      </c>
      <c r="F638" t="s">
        <v>2883</v>
      </c>
      <c r="G638" t="s">
        <v>60</v>
      </c>
      <c r="H638" t="s">
        <v>2884</v>
      </c>
    </row>
    <row r="639" spans="1:8" x14ac:dyDescent="0.35">
      <c r="A639" t="s">
        <v>2885</v>
      </c>
      <c r="B639" t="str">
        <f>"9780253009487"</f>
        <v>9780253009487</v>
      </c>
      <c r="C639" t="s">
        <v>2886</v>
      </c>
      <c r="D639" t="s">
        <v>2887</v>
      </c>
      <c r="E639" t="s">
        <v>151</v>
      </c>
      <c r="F639" t="s">
        <v>2888</v>
      </c>
      <c r="G639" t="s">
        <v>2889</v>
      </c>
      <c r="H639" t="s">
        <v>2890</v>
      </c>
    </row>
    <row r="640" spans="1:8" x14ac:dyDescent="0.35">
      <c r="A640" t="s">
        <v>2891</v>
      </c>
      <c r="B640" t="str">
        <f>"9780739132777"</f>
        <v>9780739132777</v>
      </c>
      <c r="C640" t="s">
        <v>2892</v>
      </c>
      <c r="D640" t="s">
        <v>2893</v>
      </c>
      <c r="E640" t="s">
        <v>518</v>
      </c>
      <c r="G640" t="s">
        <v>39</v>
      </c>
      <c r="H640" t="s">
        <v>2868</v>
      </c>
    </row>
    <row r="641" spans="1:8" x14ac:dyDescent="0.35">
      <c r="A641" t="s">
        <v>2894</v>
      </c>
      <c r="B641" t="str">
        <f>"9780739137499"</f>
        <v>9780739137499</v>
      </c>
      <c r="C641" t="s">
        <v>2895</v>
      </c>
      <c r="D641" t="s">
        <v>2896</v>
      </c>
      <c r="E641" t="s">
        <v>518</v>
      </c>
      <c r="G641" t="s">
        <v>44</v>
      </c>
      <c r="H641" t="s">
        <v>2897</v>
      </c>
    </row>
    <row r="642" spans="1:8" x14ac:dyDescent="0.35">
      <c r="A642" t="s">
        <v>2898</v>
      </c>
      <c r="B642" t="str">
        <f>"9781136191572"</f>
        <v>9781136191572</v>
      </c>
      <c r="C642" t="s">
        <v>2899</v>
      </c>
      <c r="D642" t="s">
        <v>2900</v>
      </c>
      <c r="E642" t="s">
        <v>11</v>
      </c>
      <c r="F642" t="s">
        <v>2901</v>
      </c>
      <c r="G642" t="s">
        <v>1116</v>
      </c>
      <c r="H642" t="s">
        <v>2902</v>
      </c>
    </row>
    <row r="643" spans="1:8" x14ac:dyDescent="0.35">
      <c r="A643" t="s">
        <v>2903</v>
      </c>
      <c r="B643" t="str">
        <f>"9789814452571"</f>
        <v>9789814452571</v>
      </c>
      <c r="C643" t="s">
        <v>2904</v>
      </c>
      <c r="D643" t="s">
        <v>2905</v>
      </c>
      <c r="E643" t="s">
        <v>2906</v>
      </c>
      <c r="F643" t="s">
        <v>2907</v>
      </c>
      <c r="G643" t="s">
        <v>17</v>
      </c>
      <c r="H643" t="s">
        <v>2908</v>
      </c>
    </row>
    <row r="644" spans="1:8" x14ac:dyDescent="0.35">
      <c r="A644" t="s">
        <v>2909</v>
      </c>
      <c r="B644" t="str">
        <f>"9780804786355"</f>
        <v>9780804786355</v>
      </c>
      <c r="C644" t="s">
        <v>2910</v>
      </c>
      <c r="D644" t="s">
        <v>2911</v>
      </c>
      <c r="E644" t="s">
        <v>680</v>
      </c>
      <c r="F644" t="s">
        <v>2051</v>
      </c>
      <c r="G644" t="s">
        <v>28</v>
      </c>
      <c r="H644" t="s">
        <v>2912</v>
      </c>
    </row>
    <row r="645" spans="1:8" x14ac:dyDescent="0.35">
      <c r="A645" t="s">
        <v>2913</v>
      </c>
      <c r="B645" t="str">
        <f>"9780804786416"</f>
        <v>9780804786416</v>
      </c>
      <c r="C645" t="s">
        <v>2914</v>
      </c>
      <c r="D645" t="s">
        <v>2915</v>
      </c>
      <c r="E645" t="s">
        <v>680</v>
      </c>
      <c r="G645" t="s">
        <v>112</v>
      </c>
      <c r="H645" t="s">
        <v>2916</v>
      </c>
    </row>
    <row r="646" spans="1:8" x14ac:dyDescent="0.35">
      <c r="A646" t="s">
        <v>2917</v>
      </c>
      <c r="B646" t="str">
        <f>"9781135052461"</f>
        <v>9781135052461</v>
      </c>
      <c r="C646" t="s">
        <v>2918</v>
      </c>
      <c r="D646" t="s">
        <v>2919</v>
      </c>
      <c r="E646" t="s">
        <v>11</v>
      </c>
      <c r="F646" t="s">
        <v>2920</v>
      </c>
      <c r="G646" t="s">
        <v>157</v>
      </c>
      <c r="H646" t="s">
        <v>2921</v>
      </c>
    </row>
    <row r="647" spans="1:8" x14ac:dyDescent="0.35">
      <c r="A647" t="s">
        <v>2922</v>
      </c>
      <c r="B647" t="str">
        <f>"9781603449557"</f>
        <v>9781603449557</v>
      </c>
      <c r="C647" t="s">
        <v>2923</v>
      </c>
      <c r="D647" t="s">
        <v>2924</v>
      </c>
      <c r="E647" t="s">
        <v>2225</v>
      </c>
      <c r="F647" t="s">
        <v>2925</v>
      </c>
      <c r="G647" t="s">
        <v>44</v>
      </c>
      <c r="H647" t="s">
        <v>2926</v>
      </c>
    </row>
    <row r="648" spans="1:8" x14ac:dyDescent="0.35">
      <c r="A648" t="s">
        <v>2927</v>
      </c>
      <c r="B648" t="str">
        <f>"9781107273856"</f>
        <v>9781107273856</v>
      </c>
      <c r="C648" t="s">
        <v>2928</v>
      </c>
      <c r="D648" t="s">
        <v>2929</v>
      </c>
      <c r="E648" t="s">
        <v>304</v>
      </c>
      <c r="G648" t="s">
        <v>146</v>
      </c>
      <c r="H648" t="s">
        <v>2930</v>
      </c>
    </row>
    <row r="649" spans="1:8" x14ac:dyDescent="0.35">
      <c r="A649" t="s">
        <v>2931</v>
      </c>
      <c r="B649" t="str">
        <f>"9780821399323"</f>
        <v>9780821399323</v>
      </c>
      <c r="C649" t="s">
        <v>2932</v>
      </c>
      <c r="D649" t="s">
        <v>2933</v>
      </c>
      <c r="E649" t="s">
        <v>481</v>
      </c>
      <c r="F649" t="s">
        <v>624</v>
      </c>
      <c r="G649" t="s">
        <v>2934</v>
      </c>
      <c r="H649" t="s">
        <v>2935</v>
      </c>
    </row>
    <row r="650" spans="1:8" x14ac:dyDescent="0.35">
      <c r="A650" t="s">
        <v>2936</v>
      </c>
      <c r="B650" t="str">
        <f>"9780821397008"</f>
        <v>9780821397008</v>
      </c>
      <c r="C650" t="s">
        <v>2937</v>
      </c>
      <c r="D650" t="s">
        <v>2938</v>
      </c>
      <c r="E650" t="s">
        <v>481</v>
      </c>
      <c r="F650" t="s">
        <v>624</v>
      </c>
      <c r="G650" t="s">
        <v>491</v>
      </c>
      <c r="H650" t="s">
        <v>2939</v>
      </c>
    </row>
    <row r="651" spans="1:8" x14ac:dyDescent="0.35">
      <c r="A651" t="s">
        <v>2940</v>
      </c>
      <c r="B651" t="str">
        <f>"9781593327125"</f>
        <v>9781593327125</v>
      </c>
      <c r="C651" t="s">
        <v>2941</v>
      </c>
      <c r="D651" t="s">
        <v>2942</v>
      </c>
      <c r="E651" t="s">
        <v>2238</v>
      </c>
      <c r="F651" t="s">
        <v>2239</v>
      </c>
      <c r="G651" t="s">
        <v>83</v>
      </c>
      <c r="H651" t="s">
        <v>2943</v>
      </c>
    </row>
    <row r="652" spans="1:8" x14ac:dyDescent="0.35">
      <c r="A652" t="s">
        <v>2944</v>
      </c>
      <c r="B652" t="str">
        <f>"9780520956865"</f>
        <v>9780520956865</v>
      </c>
      <c r="C652" t="s">
        <v>2945</v>
      </c>
      <c r="D652" t="s">
        <v>2946</v>
      </c>
      <c r="E652" t="s">
        <v>69</v>
      </c>
      <c r="G652" t="s">
        <v>44</v>
      </c>
      <c r="H652" t="s">
        <v>2947</v>
      </c>
    </row>
    <row r="653" spans="1:8" x14ac:dyDescent="0.35">
      <c r="A653" t="s">
        <v>2948</v>
      </c>
      <c r="B653" t="str">
        <f>"9781136487057"</f>
        <v>9781136487057</v>
      </c>
      <c r="C653" t="s">
        <v>2949</v>
      </c>
      <c r="D653" t="s">
        <v>2950</v>
      </c>
      <c r="E653" t="s">
        <v>11</v>
      </c>
      <c r="G653" t="s">
        <v>2449</v>
      </c>
      <c r="H653" t="s">
        <v>2951</v>
      </c>
    </row>
    <row r="654" spans="1:8" x14ac:dyDescent="0.35">
      <c r="A654" t="s">
        <v>2952</v>
      </c>
      <c r="B654" t="str">
        <f>"9780826353511"</f>
        <v>9780826353511</v>
      </c>
      <c r="C654" t="s">
        <v>2953</v>
      </c>
      <c r="D654" t="s">
        <v>2954</v>
      </c>
      <c r="E654" t="s">
        <v>2439</v>
      </c>
      <c r="G654" t="s">
        <v>44</v>
      </c>
      <c r="H654" t="s">
        <v>2955</v>
      </c>
    </row>
    <row r="655" spans="1:8" x14ac:dyDescent="0.35">
      <c r="A655" t="s">
        <v>2956</v>
      </c>
      <c r="B655" t="str">
        <f>"9780826353399"</f>
        <v>9780826353399</v>
      </c>
      <c r="C655" t="s">
        <v>2957</v>
      </c>
      <c r="D655" t="s">
        <v>2958</v>
      </c>
      <c r="E655" t="s">
        <v>2439</v>
      </c>
      <c r="G655" t="s">
        <v>2959</v>
      </c>
      <c r="H655" t="s">
        <v>2960</v>
      </c>
    </row>
    <row r="656" spans="1:8" x14ac:dyDescent="0.35">
      <c r="A656" t="s">
        <v>2961</v>
      </c>
      <c r="B656" t="str">
        <f>"9780813349053"</f>
        <v>9780813349053</v>
      </c>
      <c r="C656" t="s">
        <v>2962</v>
      </c>
      <c r="D656" t="s">
        <v>2963</v>
      </c>
      <c r="E656" t="s">
        <v>2964</v>
      </c>
      <c r="G656" t="s">
        <v>96</v>
      </c>
      <c r="H656" t="s">
        <v>1404</v>
      </c>
    </row>
    <row r="657" spans="1:8" x14ac:dyDescent="0.35">
      <c r="A657" t="s">
        <v>2965</v>
      </c>
      <c r="B657" t="str">
        <f>"9780819573544"</f>
        <v>9780819573544</v>
      </c>
      <c r="C657" t="s">
        <v>2966</v>
      </c>
      <c r="D657" t="s">
        <v>2967</v>
      </c>
      <c r="E657" t="s">
        <v>1369</v>
      </c>
      <c r="G657" t="s">
        <v>2968</v>
      </c>
      <c r="H657" t="s">
        <v>2969</v>
      </c>
    </row>
    <row r="658" spans="1:8" x14ac:dyDescent="0.35">
      <c r="A658" t="s">
        <v>2970</v>
      </c>
      <c r="B658" t="str">
        <f>"9780813048444"</f>
        <v>9780813048444</v>
      </c>
      <c r="C658" t="s">
        <v>2971</v>
      </c>
      <c r="D658" t="s">
        <v>2972</v>
      </c>
      <c r="E658" t="s">
        <v>1788</v>
      </c>
      <c r="G658" t="s">
        <v>44</v>
      </c>
      <c r="H658" t="s">
        <v>2973</v>
      </c>
    </row>
    <row r="659" spans="1:8" x14ac:dyDescent="0.35">
      <c r="A659" t="s">
        <v>2974</v>
      </c>
      <c r="B659" t="str">
        <f>"9780871953193"</f>
        <v>9780871953193</v>
      </c>
      <c r="C659" t="s">
        <v>2975</v>
      </c>
      <c r="D659" t="s">
        <v>2976</v>
      </c>
      <c r="E659" t="s">
        <v>2977</v>
      </c>
      <c r="G659" t="s">
        <v>55</v>
      </c>
      <c r="H659" t="s">
        <v>2978</v>
      </c>
    </row>
    <row r="660" spans="1:8" x14ac:dyDescent="0.35">
      <c r="A660" t="s">
        <v>2979</v>
      </c>
      <c r="B660" t="str">
        <f>"9780742572690"</f>
        <v>9780742572690</v>
      </c>
      <c r="C660" t="s">
        <v>2980</v>
      </c>
      <c r="D660" t="s">
        <v>2981</v>
      </c>
      <c r="E660" t="s">
        <v>524</v>
      </c>
      <c r="F660" t="s">
        <v>946</v>
      </c>
      <c r="G660" t="s">
        <v>186</v>
      </c>
      <c r="H660" t="s">
        <v>2982</v>
      </c>
    </row>
    <row r="661" spans="1:8" x14ac:dyDescent="0.35">
      <c r="A661" t="s">
        <v>2983</v>
      </c>
      <c r="B661" t="str">
        <f>"9780876112663"</f>
        <v>9780876112663</v>
      </c>
      <c r="C661" t="s">
        <v>2984</v>
      </c>
      <c r="D661" t="s">
        <v>2985</v>
      </c>
      <c r="E661" t="s">
        <v>2986</v>
      </c>
      <c r="F661" t="s">
        <v>2987</v>
      </c>
      <c r="G661" t="s">
        <v>44</v>
      </c>
      <c r="H661" t="s">
        <v>2988</v>
      </c>
    </row>
    <row r="662" spans="1:8" x14ac:dyDescent="0.35">
      <c r="A662" t="s">
        <v>2989</v>
      </c>
      <c r="B662" t="str">
        <f>"9780821399873"</f>
        <v>9780821399873</v>
      </c>
      <c r="C662" t="s">
        <v>2990</v>
      </c>
      <c r="D662" t="s">
        <v>2991</v>
      </c>
      <c r="E662" t="s">
        <v>481</v>
      </c>
      <c r="F662" t="s">
        <v>624</v>
      </c>
      <c r="G662" t="s">
        <v>28</v>
      </c>
      <c r="H662" t="s">
        <v>2992</v>
      </c>
    </row>
    <row r="663" spans="1:8" x14ac:dyDescent="0.35">
      <c r="A663" t="s">
        <v>2993</v>
      </c>
      <c r="B663" t="str">
        <f>"9781443850834"</f>
        <v>9781443850834</v>
      </c>
      <c r="C663" t="s">
        <v>2994</v>
      </c>
      <c r="D663" t="s">
        <v>2995</v>
      </c>
      <c r="E663" t="s">
        <v>2326</v>
      </c>
      <c r="G663" t="s">
        <v>1116</v>
      </c>
      <c r="H663" t="s">
        <v>2996</v>
      </c>
    </row>
    <row r="664" spans="1:8" x14ac:dyDescent="0.35">
      <c r="A664" t="s">
        <v>2997</v>
      </c>
      <c r="B664" t="str">
        <f>"9781443850865"</f>
        <v>9781443850865</v>
      </c>
      <c r="C664" t="s">
        <v>2998</v>
      </c>
      <c r="D664" t="s">
        <v>2999</v>
      </c>
      <c r="E664" t="s">
        <v>2326</v>
      </c>
      <c r="G664" t="s">
        <v>305</v>
      </c>
      <c r="H664" t="s">
        <v>3000</v>
      </c>
    </row>
    <row r="665" spans="1:8" x14ac:dyDescent="0.35">
      <c r="A665" t="s">
        <v>3001</v>
      </c>
      <c r="B665" t="str">
        <f>"9780804787321"</f>
        <v>9780804787321</v>
      </c>
      <c r="C665" t="s">
        <v>3002</v>
      </c>
      <c r="D665" t="s">
        <v>3003</v>
      </c>
      <c r="E665" t="s">
        <v>680</v>
      </c>
      <c r="G665" t="s">
        <v>83</v>
      </c>
      <c r="H665" t="s">
        <v>3004</v>
      </c>
    </row>
    <row r="666" spans="1:8" x14ac:dyDescent="0.35">
      <c r="A666" t="s">
        <v>3005</v>
      </c>
      <c r="B666" t="str">
        <f>"9781461646105"</f>
        <v>9781461646105</v>
      </c>
      <c r="C666" t="s">
        <v>3006</v>
      </c>
      <c r="D666" t="s">
        <v>3007</v>
      </c>
      <c r="E666" t="s">
        <v>524</v>
      </c>
      <c r="F666" t="s">
        <v>525</v>
      </c>
      <c r="G666" t="s">
        <v>39</v>
      </c>
      <c r="H666" t="s">
        <v>3008</v>
      </c>
    </row>
    <row r="667" spans="1:8" x14ac:dyDescent="0.35">
      <c r="A667" t="s">
        <v>3009</v>
      </c>
      <c r="B667" t="str">
        <f>"9780742580169"</f>
        <v>9780742580169</v>
      </c>
      <c r="C667" t="s">
        <v>3010</v>
      </c>
      <c r="D667" t="s">
        <v>3011</v>
      </c>
      <c r="E667" t="s">
        <v>524</v>
      </c>
      <c r="G667" t="s">
        <v>44</v>
      </c>
      <c r="H667" t="s">
        <v>3012</v>
      </c>
    </row>
    <row r="668" spans="1:8" x14ac:dyDescent="0.35">
      <c r="A668" t="s">
        <v>3013</v>
      </c>
      <c r="B668" t="str">
        <f>"9780742581364"</f>
        <v>9780742581364</v>
      </c>
      <c r="C668" t="s">
        <v>3014</v>
      </c>
      <c r="D668" t="s">
        <v>3015</v>
      </c>
      <c r="E668" t="s">
        <v>524</v>
      </c>
      <c r="F668" t="s">
        <v>3016</v>
      </c>
      <c r="G668" t="s">
        <v>39</v>
      </c>
      <c r="H668" t="s">
        <v>3017</v>
      </c>
    </row>
    <row r="669" spans="1:8" x14ac:dyDescent="0.35">
      <c r="A669" t="s">
        <v>3018</v>
      </c>
      <c r="B669" t="str">
        <f>"9780809387021"</f>
        <v>9780809387021</v>
      </c>
      <c r="C669" t="s">
        <v>3019</v>
      </c>
      <c r="D669" t="s">
        <v>3020</v>
      </c>
      <c r="E669" t="s">
        <v>3021</v>
      </c>
      <c r="F669" t="s">
        <v>3022</v>
      </c>
      <c r="G669" t="s">
        <v>60</v>
      </c>
      <c r="H669" t="s">
        <v>3023</v>
      </c>
    </row>
    <row r="670" spans="1:8" x14ac:dyDescent="0.35">
      <c r="A670" t="s">
        <v>3024</v>
      </c>
      <c r="B670" t="str">
        <f>"9781461643029"</f>
        <v>9781461643029</v>
      </c>
      <c r="C670" t="s">
        <v>3025</v>
      </c>
      <c r="D670" t="s">
        <v>3026</v>
      </c>
      <c r="E670" t="s">
        <v>524</v>
      </c>
      <c r="F670" t="s">
        <v>3016</v>
      </c>
      <c r="G670" t="s">
        <v>186</v>
      </c>
      <c r="H670" t="s">
        <v>3027</v>
      </c>
    </row>
    <row r="671" spans="1:8" x14ac:dyDescent="0.35">
      <c r="A671" t="s">
        <v>3028</v>
      </c>
      <c r="B671" t="str">
        <f>"9781135908652"</f>
        <v>9781135908652</v>
      </c>
      <c r="C671" t="s">
        <v>3029</v>
      </c>
      <c r="D671" t="s">
        <v>3030</v>
      </c>
      <c r="E671" t="s">
        <v>11</v>
      </c>
      <c r="F671" t="s">
        <v>2901</v>
      </c>
      <c r="G671" t="s">
        <v>3031</v>
      </c>
      <c r="H671" t="s">
        <v>3032</v>
      </c>
    </row>
    <row r="672" spans="1:8" x14ac:dyDescent="0.35">
      <c r="A672" t="s">
        <v>3033</v>
      </c>
      <c r="B672" t="str">
        <f>"9780817386665"</f>
        <v>9780817386665</v>
      </c>
      <c r="C672" t="s">
        <v>3034</v>
      </c>
      <c r="D672" t="s">
        <v>3035</v>
      </c>
      <c r="E672" t="s">
        <v>417</v>
      </c>
      <c r="G672" t="s">
        <v>55</v>
      </c>
      <c r="H672" t="s">
        <v>3036</v>
      </c>
    </row>
    <row r="673" spans="1:8" x14ac:dyDescent="0.35">
      <c r="A673" t="s">
        <v>3037</v>
      </c>
      <c r="B673" t="str">
        <f>"9780816686674"</f>
        <v>9780816686674</v>
      </c>
      <c r="C673" t="s">
        <v>3038</v>
      </c>
      <c r="D673" t="s">
        <v>3039</v>
      </c>
      <c r="E673" t="s">
        <v>273</v>
      </c>
      <c r="G673" t="s">
        <v>39</v>
      </c>
      <c r="H673" t="s">
        <v>3040</v>
      </c>
    </row>
    <row r="674" spans="1:8" x14ac:dyDescent="0.35">
      <c r="A674" t="s">
        <v>3041</v>
      </c>
      <c r="B674" t="str">
        <f>"9781452939414"</f>
        <v>9781452939414</v>
      </c>
      <c r="C674" t="s">
        <v>3042</v>
      </c>
      <c r="D674" t="s">
        <v>3043</v>
      </c>
      <c r="E674" t="s">
        <v>273</v>
      </c>
      <c r="G674" t="s">
        <v>139</v>
      </c>
      <c r="H674" t="s">
        <v>3044</v>
      </c>
    </row>
    <row r="675" spans="1:8" x14ac:dyDescent="0.35">
      <c r="A675" t="s">
        <v>3045</v>
      </c>
      <c r="B675" t="str">
        <f>"9780813048383"</f>
        <v>9780813048383</v>
      </c>
      <c r="C675" t="s">
        <v>3046</v>
      </c>
      <c r="D675" t="s">
        <v>3047</v>
      </c>
      <c r="E675" t="s">
        <v>1788</v>
      </c>
      <c r="F675" t="s">
        <v>1864</v>
      </c>
      <c r="G675" t="s">
        <v>55</v>
      </c>
      <c r="H675" t="s">
        <v>3048</v>
      </c>
    </row>
    <row r="676" spans="1:8" x14ac:dyDescent="0.35">
      <c r="A676" t="s">
        <v>3049</v>
      </c>
      <c r="B676" t="str">
        <f>"9780826353498"</f>
        <v>9780826353498</v>
      </c>
      <c r="C676" t="s">
        <v>3050</v>
      </c>
      <c r="D676" t="s">
        <v>3051</v>
      </c>
      <c r="E676" t="s">
        <v>2439</v>
      </c>
      <c r="G676" t="s">
        <v>44</v>
      </c>
      <c r="H676" t="s">
        <v>3052</v>
      </c>
    </row>
    <row r="677" spans="1:8" x14ac:dyDescent="0.35">
      <c r="A677" t="s">
        <v>3053</v>
      </c>
      <c r="B677" t="str">
        <f>"9780826353962"</f>
        <v>9780826353962</v>
      </c>
      <c r="C677" t="s">
        <v>3054</v>
      </c>
      <c r="D677" t="s">
        <v>3055</v>
      </c>
      <c r="E677" t="s">
        <v>2439</v>
      </c>
      <c r="G677" t="s">
        <v>39</v>
      </c>
      <c r="H677" t="s">
        <v>3056</v>
      </c>
    </row>
    <row r="678" spans="1:8" x14ac:dyDescent="0.35">
      <c r="A678" t="s">
        <v>3057</v>
      </c>
      <c r="B678" t="str">
        <f>"9780742580565"</f>
        <v>9780742580565</v>
      </c>
      <c r="C678" t="s">
        <v>3058</v>
      </c>
      <c r="D678" t="s">
        <v>3059</v>
      </c>
      <c r="E678" t="s">
        <v>524</v>
      </c>
      <c r="F678" t="s">
        <v>525</v>
      </c>
      <c r="G678" t="s">
        <v>44</v>
      </c>
      <c r="H678" t="s">
        <v>3060</v>
      </c>
    </row>
    <row r="679" spans="1:8" x14ac:dyDescent="0.35">
      <c r="A679" t="s">
        <v>3061</v>
      </c>
      <c r="B679" t="str">
        <f>"9781593327392"</f>
        <v>9781593327392</v>
      </c>
      <c r="C679" t="s">
        <v>3062</v>
      </c>
      <c r="D679" t="s">
        <v>3063</v>
      </c>
      <c r="E679" t="s">
        <v>2238</v>
      </c>
      <c r="F679" t="s">
        <v>2239</v>
      </c>
      <c r="G679" t="s">
        <v>268</v>
      </c>
      <c r="H679" t="s">
        <v>3064</v>
      </c>
    </row>
    <row r="680" spans="1:8" x14ac:dyDescent="0.35">
      <c r="A680" t="s">
        <v>3065</v>
      </c>
      <c r="B680" t="str">
        <f>"9781593327361"</f>
        <v>9781593327361</v>
      </c>
      <c r="C680" t="s">
        <v>3066</v>
      </c>
      <c r="D680" t="s">
        <v>3067</v>
      </c>
      <c r="E680" t="s">
        <v>2238</v>
      </c>
      <c r="F680" t="s">
        <v>2239</v>
      </c>
      <c r="G680" t="s">
        <v>726</v>
      </c>
      <c r="H680" t="s">
        <v>3068</v>
      </c>
    </row>
    <row r="681" spans="1:8" x14ac:dyDescent="0.35">
      <c r="A681" t="s">
        <v>3069</v>
      </c>
      <c r="B681" t="str">
        <f>"9781593327354"</f>
        <v>9781593327354</v>
      </c>
      <c r="C681" t="s">
        <v>3070</v>
      </c>
      <c r="D681" t="s">
        <v>3071</v>
      </c>
      <c r="E681" t="s">
        <v>2238</v>
      </c>
      <c r="F681" t="s">
        <v>2239</v>
      </c>
      <c r="G681" t="s">
        <v>55</v>
      </c>
      <c r="H681" t="s">
        <v>3072</v>
      </c>
    </row>
    <row r="682" spans="1:8" x14ac:dyDescent="0.35">
      <c r="A682" t="s">
        <v>3073</v>
      </c>
      <c r="B682" t="str">
        <f>"9780804788014"</f>
        <v>9780804788014</v>
      </c>
      <c r="C682" t="s">
        <v>3074</v>
      </c>
      <c r="D682" t="s">
        <v>3075</v>
      </c>
      <c r="E682" t="s">
        <v>680</v>
      </c>
      <c r="G682" t="s">
        <v>17</v>
      </c>
      <c r="H682" t="s">
        <v>3076</v>
      </c>
    </row>
    <row r="683" spans="1:8" x14ac:dyDescent="0.35">
      <c r="A683" t="s">
        <v>3077</v>
      </c>
      <c r="B683" t="str">
        <f>"9780815725305"</f>
        <v>9780815725305</v>
      </c>
      <c r="C683" t="s">
        <v>3078</v>
      </c>
      <c r="D683" t="s">
        <v>3079</v>
      </c>
      <c r="E683" t="s">
        <v>156</v>
      </c>
      <c r="G683" t="s">
        <v>3080</v>
      </c>
      <c r="H683" t="s">
        <v>3081</v>
      </c>
    </row>
    <row r="684" spans="1:8" x14ac:dyDescent="0.35">
      <c r="A684" t="s">
        <v>3082</v>
      </c>
      <c r="B684" t="str">
        <f>"9789401209656"</f>
        <v>9789401209656</v>
      </c>
      <c r="C684" t="s">
        <v>3083</v>
      </c>
      <c r="D684" t="s">
        <v>3084</v>
      </c>
      <c r="E684" t="s">
        <v>540</v>
      </c>
      <c r="F684" t="s">
        <v>3085</v>
      </c>
      <c r="G684" t="s">
        <v>60</v>
      </c>
      <c r="H684" t="s">
        <v>3086</v>
      </c>
    </row>
    <row r="685" spans="1:8" x14ac:dyDescent="0.35">
      <c r="A685" t="s">
        <v>3087</v>
      </c>
      <c r="B685" t="str">
        <f>"9781118302019"</f>
        <v>9781118302019</v>
      </c>
      <c r="C685" t="s">
        <v>3088</v>
      </c>
      <c r="D685" t="s">
        <v>3089</v>
      </c>
      <c r="E685" t="s">
        <v>567</v>
      </c>
      <c r="F685" t="s">
        <v>3090</v>
      </c>
      <c r="G685" t="s">
        <v>376</v>
      </c>
      <c r="H685" t="s">
        <v>3091</v>
      </c>
    </row>
    <row r="686" spans="1:8" x14ac:dyDescent="0.35">
      <c r="A686" t="s">
        <v>3092</v>
      </c>
      <c r="B686" t="str">
        <f>"9781317922704"</f>
        <v>9781317922704</v>
      </c>
      <c r="C686" t="s">
        <v>3093</v>
      </c>
      <c r="D686" t="s">
        <v>3094</v>
      </c>
      <c r="E686" t="s">
        <v>11</v>
      </c>
      <c r="G686" t="s">
        <v>2042</v>
      </c>
      <c r="H686" t="s">
        <v>3095</v>
      </c>
    </row>
    <row r="687" spans="1:8" x14ac:dyDescent="0.35">
      <c r="A687" t="s">
        <v>3096</v>
      </c>
      <c r="B687" t="str">
        <f>"9780820344799"</f>
        <v>9780820344799</v>
      </c>
      <c r="C687" t="s">
        <v>3097</v>
      </c>
      <c r="D687" t="s">
        <v>3098</v>
      </c>
      <c r="E687" t="s">
        <v>2762</v>
      </c>
      <c r="G687" t="s">
        <v>55</v>
      </c>
      <c r="H687" t="s">
        <v>3099</v>
      </c>
    </row>
    <row r="688" spans="1:8" x14ac:dyDescent="0.35">
      <c r="A688" t="s">
        <v>3100</v>
      </c>
      <c r="B688" t="str">
        <f>"9780739176474"</f>
        <v>9780739176474</v>
      </c>
      <c r="C688" t="s">
        <v>3101</v>
      </c>
      <c r="D688" t="s">
        <v>3102</v>
      </c>
      <c r="E688" t="s">
        <v>518</v>
      </c>
      <c r="G688" t="s">
        <v>83</v>
      </c>
      <c r="H688" t="s">
        <v>3103</v>
      </c>
    </row>
    <row r="689" spans="1:8" x14ac:dyDescent="0.35">
      <c r="A689" t="s">
        <v>3104</v>
      </c>
      <c r="B689" t="str">
        <f>"9780826353795"</f>
        <v>9780826353795</v>
      </c>
      <c r="C689" t="s">
        <v>3105</v>
      </c>
      <c r="D689" t="s">
        <v>3106</v>
      </c>
      <c r="E689" t="s">
        <v>2439</v>
      </c>
      <c r="G689" t="s">
        <v>1116</v>
      </c>
      <c r="H689" t="s">
        <v>3107</v>
      </c>
    </row>
    <row r="690" spans="1:8" x14ac:dyDescent="0.35">
      <c r="A690" t="s">
        <v>3108</v>
      </c>
      <c r="B690" t="str">
        <f>"9780520957190"</f>
        <v>9780520957190</v>
      </c>
      <c r="C690" t="s">
        <v>3109</v>
      </c>
      <c r="D690" t="s">
        <v>190</v>
      </c>
      <c r="E690" t="s">
        <v>69</v>
      </c>
      <c r="F690" t="s">
        <v>74</v>
      </c>
      <c r="G690" t="s">
        <v>55</v>
      </c>
      <c r="H690" t="s">
        <v>3110</v>
      </c>
    </row>
    <row r="691" spans="1:8" x14ac:dyDescent="0.35">
      <c r="A691" t="s">
        <v>3111</v>
      </c>
      <c r="B691" t="str">
        <f>"9780520956902"</f>
        <v>9780520956902</v>
      </c>
      <c r="C691" t="s">
        <v>3112</v>
      </c>
      <c r="D691" t="s">
        <v>3113</v>
      </c>
      <c r="E691" t="s">
        <v>69</v>
      </c>
      <c r="G691" t="s">
        <v>139</v>
      </c>
      <c r="H691" t="s">
        <v>3114</v>
      </c>
    </row>
    <row r="692" spans="1:8" x14ac:dyDescent="0.35">
      <c r="A692" t="s">
        <v>3115</v>
      </c>
      <c r="B692" t="str">
        <f>"9780520955417"</f>
        <v>9780520955417</v>
      </c>
      <c r="C692" t="s">
        <v>3116</v>
      </c>
      <c r="D692" t="s">
        <v>3117</v>
      </c>
      <c r="E692" t="s">
        <v>69</v>
      </c>
      <c r="F692" t="s">
        <v>2794</v>
      </c>
      <c r="G692" t="s">
        <v>39</v>
      </c>
      <c r="H692" t="s">
        <v>3118</v>
      </c>
    </row>
    <row r="693" spans="1:8" x14ac:dyDescent="0.35">
      <c r="A693" t="s">
        <v>3119</v>
      </c>
      <c r="B693" t="str">
        <f>"9780520956872"</f>
        <v>9780520956872</v>
      </c>
      <c r="C693" t="s">
        <v>3120</v>
      </c>
      <c r="D693" t="s">
        <v>3121</v>
      </c>
      <c r="E693" t="s">
        <v>69</v>
      </c>
      <c r="G693" t="s">
        <v>3122</v>
      </c>
      <c r="H693" t="s">
        <v>3123</v>
      </c>
    </row>
    <row r="694" spans="1:8" x14ac:dyDescent="0.35">
      <c r="A694" t="s">
        <v>3124</v>
      </c>
      <c r="B694" t="str">
        <f>"9780759124226"</f>
        <v>9780759124226</v>
      </c>
      <c r="C694" t="s">
        <v>3125</v>
      </c>
      <c r="D694" t="s">
        <v>3126</v>
      </c>
      <c r="E694" t="s">
        <v>524</v>
      </c>
      <c r="F694" t="s">
        <v>3127</v>
      </c>
      <c r="G694" t="s">
        <v>39</v>
      </c>
      <c r="H694" t="s">
        <v>3128</v>
      </c>
    </row>
    <row r="695" spans="1:8" x14ac:dyDescent="0.35">
      <c r="A695" t="s">
        <v>3129</v>
      </c>
      <c r="B695" t="str">
        <f>"9781443851572"</f>
        <v>9781443851572</v>
      </c>
      <c r="C695" t="s">
        <v>3130</v>
      </c>
      <c r="D695" t="s">
        <v>3131</v>
      </c>
      <c r="E695" t="s">
        <v>2326</v>
      </c>
      <c r="G695" t="s">
        <v>282</v>
      </c>
      <c r="H695" t="s">
        <v>3132</v>
      </c>
    </row>
    <row r="696" spans="1:8" x14ac:dyDescent="0.35">
      <c r="A696" t="s">
        <v>3133</v>
      </c>
      <c r="B696" t="str">
        <f>"9780520956742"</f>
        <v>9780520956742</v>
      </c>
      <c r="C696" t="s">
        <v>3134</v>
      </c>
      <c r="D696" t="s">
        <v>3135</v>
      </c>
      <c r="E696" t="s">
        <v>69</v>
      </c>
      <c r="G696" t="s">
        <v>55</v>
      </c>
      <c r="H696" t="s">
        <v>3136</v>
      </c>
    </row>
    <row r="697" spans="1:8" x14ac:dyDescent="0.35">
      <c r="A697" t="s">
        <v>3137</v>
      </c>
      <c r="B697" t="str">
        <f>"9780520957183"</f>
        <v>9780520957183</v>
      </c>
      <c r="C697" t="s">
        <v>3138</v>
      </c>
      <c r="D697" t="s">
        <v>3139</v>
      </c>
      <c r="E697" t="s">
        <v>69</v>
      </c>
      <c r="F697" t="s">
        <v>2794</v>
      </c>
      <c r="G697" t="s">
        <v>39</v>
      </c>
      <c r="H697" t="s">
        <v>3140</v>
      </c>
    </row>
    <row r="698" spans="1:8" x14ac:dyDescent="0.35">
      <c r="A698" t="s">
        <v>3141</v>
      </c>
      <c r="B698" t="str">
        <f>"9780826353771"</f>
        <v>9780826353771</v>
      </c>
      <c r="C698" t="s">
        <v>3142</v>
      </c>
      <c r="D698" t="s">
        <v>3143</v>
      </c>
      <c r="E698" t="s">
        <v>2439</v>
      </c>
      <c r="G698" t="s">
        <v>139</v>
      </c>
      <c r="H698" t="s">
        <v>3144</v>
      </c>
    </row>
    <row r="699" spans="1:8" x14ac:dyDescent="0.35">
      <c r="A699" t="s">
        <v>3145</v>
      </c>
      <c r="B699" t="str">
        <f>"9780826353696"</f>
        <v>9780826353696</v>
      </c>
      <c r="C699" t="s">
        <v>3146</v>
      </c>
      <c r="D699" t="s">
        <v>3147</v>
      </c>
      <c r="E699" t="s">
        <v>2439</v>
      </c>
      <c r="G699" t="s">
        <v>44</v>
      </c>
      <c r="H699" t="s">
        <v>3148</v>
      </c>
    </row>
    <row r="700" spans="1:8" x14ac:dyDescent="0.35">
      <c r="A700" t="s">
        <v>3149</v>
      </c>
      <c r="B700" t="str">
        <f>"9789004261327"</f>
        <v>9789004261327</v>
      </c>
      <c r="C700" t="s">
        <v>3150</v>
      </c>
      <c r="D700" t="s">
        <v>3151</v>
      </c>
      <c r="E700" t="s">
        <v>540</v>
      </c>
      <c r="F700" t="s">
        <v>1393</v>
      </c>
      <c r="G700" t="s">
        <v>60</v>
      </c>
      <c r="H700" t="s">
        <v>3152</v>
      </c>
    </row>
    <row r="701" spans="1:8" x14ac:dyDescent="0.35">
      <c r="A701" t="s">
        <v>3153</v>
      </c>
      <c r="B701" t="str">
        <f>"9781781385579"</f>
        <v>9781781385579</v>
      </c>
      <c r="C701" t="s">
        <v>3154</v>
      </c>
      <c r="D701" t="s">
        <v>3155</v>
      </c>
      <c r="E701" t="s">
        <v>339</v>
      </c>
      <c r="F701" t="s">
        <v>3156</v>
      </c>
      <c r="G701" t="s">
        <v>60</v>
      </c>
      <c r="H701" t="s">
        <v>3157</v>
      </c>
    </row>
    <row r="702" spans="1:8" x14ac:dyDescent="0.35">
      <c r="A702" t="s">
        <v>3158</v>
      </c>
      <c r="B702" t="str">
        <f>"9780816687978"</f>
        <v>9780816687978</v>
      </c>
      <c r="C702" t="s">
        <v>3159</v>
      </c>
      <c r="D702" t="s">
        <v>3160</v>
      </c>
      <c r="E702" t="s">
        <v>273</v>
      </c>
      <c r="G702" t="s">
        <v>39</v>
      </c>
      <c r="H702" t="s">
        <v>3161</v>
      </c>
    </row>
    <row r="703" spans="1:8" x14ac:dyDescent="0.35">
      <c r="A703" t="s">
        <v>3162</v>
      </c>
      <c r="B703" t="str">
        <f>"9781452940120"</f>
        <v>9781452940120</v>
      </c>
      <c r="C703" t="s">
        <v>3163</v>
      </c>
      <c r="D703" t="s">
        <v>3164</v>
      </c>
      <c r="E703" t="s">
        <v>273</v>
      </c>
      <c r="G703" t="s">
        <v>112</v>
      </c>
      <c r="H703" t="s">
        <v>3165</v>
      </c>
    </row>
    <row r="704" spans="1:8" x14ac:dyDescent="0.35">
      <c r="A704" t="s">
        <v>3166</v>
      </c>
      <c r="B704" t="str">
        <f>"9781107503274"</f>
        <v>9781107503274</v>
      </c>
      <c r="C704" t="s">
        <v>3167</v>
      </c>
      <c r="D704" t="s">
        <v>3168</v>
      </c>
      <c r="E704" t="s">
        <v>304</v>
      </c>
      <c r="G704" t="s">
        <v>1116</v>
      </c>
      <c r="H704" t="s">
        <v>3169</v>
      </c>
    </row>
    <row r="705" spans="1:8" x14ac:dyDescent="0.35">
      <c r="A705" t="s">
        <v>3170</v>
      </c>
      <c r="B705" t="str">
        <f>"9780803249431"</f>
        <v>9780803249431</v>
      </c>
      <c r="C705" t="s">
        <v>3171</v>
      </c>
      <c r="D705" t="s">
        <v>3172</v>
      </c>
      <c r="E705" t="s">
        <v>1827</v>
      </c>
      <c r="F705" t="s">
        <v>576</v>
      </c>
      <c r="G705" t="s">
        <v>28</v>
      </c>
      <c r="H705" t="s">
        <v>3173</v>
      </c>
    </row>
    <row r="706" spans="1:8" x14ac:dyDescent="0.35">
      <c r="A706" t="s">
        <v>3174</v>
      </c>
      <c r="B706" t="str">
        <f>"9780803248700"</f>
        <v>9780803248700</v>
      </c>
      <c r="C706" t="s">
        <v>3175</v>
      </c>
      <c r="D706" t="s">
        <v>3176</v>
      </c>
      <c r="E706" t="s">
        <v>1827</v>
      </c>
      <c r="F706" t="s">
        <v>576</v>
      </c>
      <c r="G706" t="s">
        <v>17</v>
      </c>
      <c r="H706" t="s">
        <v>3177</v>
      </c>
    </row>
    <row r="707" spans="1:8" x14ac:dyDescent="0.35">
      <c r="A707" t="s">
        <v>3178</v>
      </c>
      <c r="B707" t="str">
        <f>"9781317972686"</f>
        <v>9781317972686</v>
      </c>
      <c r="C707" t="s">
        <v>3179</v>
      </c>
      <c r="D707" t="s">
        <v>3180</v>
      </c>
      <c r="E707" t="s">
        <v>11</v>
      </c>
      <c r="F707" t="s">
        <v>3181</v>
      </c>
      <c r="G707" t="s">
        <v>39</v>
      </c>
      <c r="H707" t="s">
        <v>3182</v>
      </c>
    </row>
    <row r="708" spans="1:8" x14ac:dyDescent="0.35">
      <c r="A708" t="s">
        <v>3183</v>
      </c>
      <c r="B708" t="str">
        <f>"9780813560960"</f>
        <v>9780813560960</v>
      </c>
      <c r="C708" t="s">
        <v>3184</v>
      </c>
      <c r="D708" t="s">
        <v>3185</v>
      </c>
      <c r="E708" t="s">
        <v>299</v>
      </c>
      <c r="F708" t="s">
        <v>1447</v>
      </c>
      <c r="G708" t="s">
        <v>60</v>
      </c>
      <c r="H708" t="s">
        <v>3186</v>
      </c>
    </row>
    <row r="709" spans="1:8" x14ac:dyDescent="0.35">
      <c r="A709" t="s">
        <v>3187</v>
      </c>
      <c r="B709" t="str">
        <f>"9780813561196"</f>
        <v>9780813561196</v>
      </c>
      <c r="C709" t="s">
        <v>3188</v>
      </c>
      <c r="D709" t="s">
        <v>3189</v>
      </c>
      <c r="E709" t="s">
        <v>299</v>
      </c>
      <c r="F709" t="s">
        <v>1447</v>
      </c>
      <c r="G709" t="s">
        <v>60</v>
      </c>
      <c r="H709" t="s">
        <v>3190</v>
      </c>
    </row>
    <row r="710" spans="1:8" x14ac:dyDescent="0.35">
      <c r="A710" t="s">
        <v>3191</v>
      </c>
      <c r="B710" t="str">
        <f>"9780813561080"</f>
        <v>9780813561080</v>
      </c>
      <c r="C710" t="s">
        <v>3192</v>
      </c>
      <c r="D710" t="s">
        <v>3193</v>
      </c>
      <c r="E710" t="s">
        <v>299</v>
      </c>
      <c r="F710" t="s">
        <v>1447</v>
      </c>
      <c r="G710" t="s">
        <v>139</v>
      </c>
      <c r="H710" t="s">
        <v>3194</v>
      </c>
    </row>
    <row r="711" spans="1:8" x14ac:dyDescent="0.35">
      <c r="A711" t="s">
        <v>3195</v>
      </c>
      <c r="B711" t="str">
        <f>"9780813562896"</f>
        <v>9780813562896</v>
      </c>
      <c r="C711" t="s">
        <v>3196</v>
      </c>
      <c r="D711" t="s">
        <v>3197</v>
      </c>
      <c r="E711" t="s">
        <v>299</v>
      </c>
      <c r="F711" t="s">
        <v>407</v>
      </c>
      <c r="G711" t="s">
        <v>39</v>
      </c>
      <c r="H711" t="s">
        <v>3198</v>
      </c>
    </row>
    <row r="712" spans="1:8" x14ac:dyDescent="0.35">
      <c r="A712" t="s">
        <v>3199</v>
      </c>
      <c r="B712" t="str">
        <f>"9780813561974"</f>
        <v>9780813561974</v>
      </c>
      <c r="C712" t="s">
        <v>3200</v>
      </c>
      <c r="D712" t="s">
        <v>3201</v>
      </c>
      <c r="E712" t="s">
        <v>299</v>
      </c>
      <c r="F712" t="s">
        <v>3202</v>
      </c>
      <c r="G712" t="s">
        <v>39</v>
      </c>
      <c r="H712" t="s">
        <v>3203</v>
      </c>
    </row>
    <row r="713" spans="1:8" x14ac:dyDescent="0.35">
      <c r="A713" t="s">
        <v>3204</v>
      </c>
      <c r="B713" t="str">
        <f>"9780813048628"</f>
        <v>9780813048628</v>
      </c>
      <c r="C713" t="s">
        <v>3205</v>
      </c>
      <c r="D713" t="s">
        <v>3206</v>
      </c>
      <c r="E713" t="s">
        <v>1788</v>
      </c>
      <c r="F713" t="s">
        <v>2837</v>
      </c>
      <c r="G713" t="s">
        <v>44</v>
      </c>
      <c r="H713" t="s">
        <v>3207</v>
      </c>
    </row>
    <row r="714" spans="1:8" x14ac:dyDescent="0.35">
      <c r="A714" t="s">
        <v>3208</v>
      </c>
      <c r="B714" t="str">
        <f>"9781409419020"</f>
        <v>9781409419020</v>
      </c>
      <c r="C714" t="s">
        <v>3209</v>
      </c>
      <c r="D714" t="s">
        <v>3210</v>
      </c>
      <c r="E714" t="s">
        <v>11</v>
      </c>
      <c r="G714" t="s">
        <v>28</v>
      </c>
      <c r="H714" t="s">
        <v>3211</v>
      </c>
    </row>
    <row r="715" spans="1:8" x14ac:dyDescent="0.35">
      <c r="A715" t="s">
        <v>3212</v>
      </c>
      <c r="B715" t="str">
        <f>"9780813562353"</f>
        <v>9780813562353</v>
      </c>
      <c r="C715" t="s">
        <v>3213</v>
      </c>
      <c r="D715" t="s">
        <v>3214</v>
      </c>
      <c r="E715" t="s">
        <v>299</v>
      </c>
      <c r="F715" t="s">
        <v>1447</v>
      </c>
      <c r="G715" t="s">
        <v>60</v>
      </c>
      <c r="H715" t="s">
        <v>3215</v>
      </c>
    </row>
    <row r="716" spans="1:8" x14ac:dyDescent="0.35">
      <c r="A716" t="s">
        <v>3216</v>
      </c>
      <c r="B716" t="str">
        <f>"9783110317473"</f>
        <v>9783110317473</v>
      </c>
      <c r="C716" t="s">
        <v>3217</v>
      </c>
      <c r="D716" t="s">
        <v>3218</v>
      </c>
      <c r="E716" t="s">
        <v>759</v>
      </c>
      <c r="G716" t="s">
        <v>214</v>
      </c>
      <c r="H716" t="s">
        <v>3219</v>
      </c>
    </row>
    <row r="717" spans="1:8" x14ac:dyDescent="0.35">
      <c r="A717" t="s">
        <v>3220</v>
      </c>
      <c r="B717" t="str">
        <f>"9783110350296"</f>
        <v>9783110350296</v>
      </c>
      <c r="C717" t="s">
        <v>3221</v>
      </c>
      <c r="D717" t="s">
        <v>3222</v>
      </c>
      <c r="E717" t="s">
        <v>759</v>
      </c>
      <c r="F717" t="s">
        <v>3223</v>
      </c>
      <c r="G717" t="s">
        <v>50</v>
      </c>
      <c r="H717" t="s">
        <v>3224</v>
      </c>
    </row>
    <row r="718" spans="1:8" x14ac:dyDescent="0.35">
      <c r="A718" t="s">
        <v>3225</v>
      </c>
      <c r="B718" t="str">
        <f>"9780809333097"</f>
        <v>9780809333097</v>
      </c>
      <c r="C718" t="s">
        <v>3226</v>
      </c>
      <c r="D718" t="s">
        <v>3227</v>
      </c>
      <c r="E718" t="s">
        <v>3021</v>
      </c>
      <c r="F718" t="s">
        <v>3022</v>
      </c>
      <c r="G718" t="s">
        <v>139</v>
      </c>
      <c r="H718" t="s">
        <v>3228</v>
      </c>
    </row>
    <row r="719" spans="1:8" x14ac:dyDescent="0.35">
      <c r="A719" t="s">
        <v>3229</v>
      </c>
      <c r="B719" t="str">
        <f>"9781464800092"</f>
        <v>9781464800092</v>
      </c>
      <c r="C719" t="s">
        <v>3230</v>
      </c>
      <c r="D719" t="s">
        <v>3231</v>
      </c>
      <c r="E719" t="s">
        <v>481</v>
      </c>
      <c r="F719" t="s">
        <v>496</v>
      </c>
      <c r="G719" t="s">
        <v>376</v>
      </c>
      <c r="H719" t="s">
        <v>3232</v>
      </c>
    </row>
    <row r="720" spans="1:8" x14ac:dyDescent="0.35">
      <c r="A720" t="s">
        <v>3233</v>
      </c>
      <c r="B720" t="str">
        <f>"9781611485080"</f>
        <v>9781611485080</v>
      </c>
      <c r="C720" t="s">
        <v>3234</v>
      </c>
      <c r="D720" t="s">
        <v>3235</v>
      </c>
      <c r="E720" t="s">
        <v>1328</v>
      </c>
      <c r="F720" t="s">
        <v>3236</v>
      </c>
      <c r="G720" t="s">
        <v>3237</v>
      </c>
      <c r="H720" t="s">
        <v>3238</v>
      </c>
    </row>
    <row r="721" spans="1:8" x14ac:dyDescent="0.35">
      <c r="A721" t="s">
        <v>3239</v>
      </c>
      <c r="B721" t="str">
        <f>"9781611485462"</f>
        <v>9781611485462</v>
      </c>
      <c r="C721" t="s">
        <v>3240</v>
      </c>
      <c r="D721" t="s">
        <v>3241</v>
      </c>
      <c r="E721" t="s">
        <v>1328</v>
      </c>
      <c r="F721" t="s">
        <v>3236</v>
      </c>
      <c r="G721" t="s">
        <v>60</v>
      </c>
      <c r="H721" t="s">
        <v>3242</v>
      </c>
    </row>
    <row r="722" spans="1:8" x14ac:dyDescent="0.35">
      <c r="A722" t="s">
        <v>3243</v>
      </c>
      <c r="B722" t="str">
        <f>"9781452940267"</f>
        <v>9781452940267</v>
      </c>
      <c r="C722" t="s">
        <v>3244</v>
      </c>
      <c r="D722" t="s">
        <v>3245</v>
      </c>
      <c r="E722" t="s">
        <v>273</v>
      </c>
      <c r="G722" t="s">
        <v>106</v>
      </c>
      <c r="H722" t="s">
        <v>3246</v>
      </c>
    </row>
    <row r="723" spans="1:8" x14ac:dyDescent="0.35">
      <c r="A723" t="s">
        <v>3247</v>
      </c>
      <c r="B723" t="str">
        <f>"9781452940090"</f>
        <v>9781452940090</v>
      </c>
      <c r="C723" t="s">
        <v>3248</v>
      </c>
      <c r="D723" t="s">
        <v>3249</v>
      </c>
      <c r="E723" t="s">
        <v>273</v>
      </c>
      <c r="G723" t="s">
        <v>376</v>
      </c>
      <c r="H723" t="s">
        <v>3250</v>
      </c>
    </row>
    <row r="724" spans="1:8" x14ac:dyDescent="0.35">
      <c r="A724" t="s">
        <v>3251</v>
      </c>
      <c r="B724" t="str">
        <f>"9780813048994"</f>
        <v>9780813048994</v>
      </c>
      <c r="C724" t="s">
        <v>3252</v>
      </c>
      <c r="D724" t="s">
        <v>3253</v>
      </c>
      <c r="E724" t="s">
        <v>1788</v>
      </c>
      <c r="G724" t="s">
        <v>60</v>
      </c>
      <c r="H724" t="s">
        <v>3254</v>
      </c>
    </row>
    <row r="725" spans="1:8" x14ac:dyDescent="0.35">
      <c r="A725" t="s">
        <v>3255</v>
      </c>
      <c r="B725" t="str">
        <f>"9780739177778"</f>
        <v>9780739177778</v>
      </c>
      <c r="C725" t="s">
        <v>3256</v>
      </c>
      <c r="D725" t="s">
        <v>3257</v>
      </c>
      <c r="E725" t="s">
        <v>518</v>
      </c>
      <c r="G725" t="s">
        <v>3258</v>
      </c>
      <c r="H725" t="s">
        <v>3259</v>
      </c>
    </row>
    <row r="726" spans="1:8" x14ac:dyDescent="0.35">
      <c r="A726" t="s">
        <v>3260</v>
      </c>
      <c r="B726" t="str">
        <f>"9781611484632"</f>
        <v>9781611484632</v>
      </c>
      <c r="C726" t="s">
        <v>3261</v>
      </c>
      <c r="D726" t="s">
        <v>3262</v>
      </c>
      <c r="E726" t="s">
        <v>1328</v>
      </c>
      <c r="G726" t="s">
        <v>44</v>
      </c>
      <c r="H726" t="s">
        <v>3263</v>
      </c>
    </row>
    <row r="727" spans="1:8" x14ac:dyDescent="0.35">
      <c r="A727" t="s">
        <v>3264</v>
      </c>
      <c r="B727" t="str">
        <f>"9781475572018"</f>
        <v>9781475572018</v>
      </c>
      <c r="C727" t="s">
        <v>3265</v>
      </c>
      <c r="D727" t="s">
        <v>3266</v>
      </c>
      <c r="E727" t="s">
        <v>3267</v>
      </c>
      <c r="G727" t="s">
        <v>17</v>
      </c>
      <c r="H727" t="s">
        <v>3268</v>
      </c>
    </row>
    <row r="728" spans="1:8" x14ac:dyDescent="0.35">
      <c r="A728" t="s">
        <v>3269</v>
      </c>
      <c r="B728" t="str">
        <f>"9780810884427"</f>
        <v>9780810884427</v>
      </c>
      <c r="C728" t="s">
        <v>3270</v>
      </c>
      <c r="D728" t="s">
        <v>3271</v>
      </c>
      <c r="E728" t="s">
        <v>530</v>
      </c>
      <c r="G728" t="s">
        <v>139</v>
      </c>
      <c r="H728" t="s">
        <v>3272</v>
      </c>
    </row>
    <row r="729" spans="1:8" x14ac:dyDescent="0.35">
      <c r="A729" t="s">
        <v>3273</v>
      </c>
      <c r="B729" t="str">
        <f>"9780520958364"</f>
        <v>9780520958364</v>
      </c>
      <c r="C729" t="s">
        <v>3274</v>
      </c>
      <c r="D729" t="s">
        <v>3275</v>
      </c>
      <c r="E729" t="s">
        <v>69</v>
      </c>
      <c r="G729" t="s">
        <v>17</v>
      </c>
      <c r="H729" t="s">
        <v>3276</v>
      </c>
    </row>
    <row r="730" spans="1:8" x14ac:dyDescent="0.35">
      <c r="A730" t="s">
        <v>3277</v>
      </c>
      <c r="B730" t="str">
        <f>"9780821399569"</f>
        <v>9780821399569</v>
      </c>
      <c r="C730" t="s">
        <v>3278</v>
      </c>
      <c r="D730" t="s">
        <v>3279</v>
      </c>
      <c r="E730" t="s">
        <v>481</v>
      </c>
      <c r="F730" t="s">
        <v>496</v>
      </c>
      <c r="G730" t="s">
        <v>376</v>
      </c>
      <c r="H730" t="s">
        <v>3280</v>
      </c>
    </row>
    <row r="731" spans="1:8" x14ac:dyDescent="0.35">
      <c r="A731" t="s">
        <v>3281</v>
      </c>
      <c r="B731" t="str">
        <f>"9781464800139"</f>
        <v>9781464800139</v>
      </c>
      <c r="C731" t="s">
        <v>3282</v>
      </c>
      <c r="D731" t="s">
        <v>3283</v>
      </c>
      <c r="E731" t="s">
        <v>481</v>
      </c>
      <c r="F731" t="s">
        <v>1485</v>
      </c>
      <c r="G731" t="s">
        <v>28</v>
      </c>
      <c r="H731" t="s">
        <v>3284</v>
      </c>
    </row>
    <row r="732" spans="1:8" x14ac:dyDescent="0.35">
      <c r="A732" t="s">
        <v>3285</v>
      </c>
      <c r="B732" t="str">
        <f>"9789004256354"</f>
        <v>9789004256354</v>
      </c>
      <c r="C732" t="s">
        <v>3286</v>
      </c>
      <c r="D732" t="s">
        <v>3287</v>
      </c>
      <c r="E732" t="s">
        <v>540</v>
      </c>
      <c r="F732" t="s">
        <v>1356</v>
      </c>
      <c r="G732" t="s">
        <v>3288</v>
      </c>
      <c r="H732" t="s">
        <v>3289</v>
      </c>
    </row>
    <row r="733" spans="1:8" x14ac:dyDescent="0.35">
      <c r="A733" t="s">
        <v>3290</v>
      </c>
      <c r="B733" t="str">
        <f>"9783110343977"</f>
        <v>9783110343977</v>
      </c>
      <c r="C733" t="s">
        <v>3291</v>
      </c>
      <c r="D733" t="s">
        <v>3292</v>
      </c>
      <c r="E733" t="s">
        <v>759</v>
      </c>
      <c r="F733" t="s">
        <v>3293</v>
      </c>
      <c r="G733" t="s">
        <v>146</v>
      </c>
      <c r="H733" t="s">
        <v>3294</v>
      </c>
    </row>
    <row r="734" spans="1:8" x14ac:dyDescent="0.35">
      <c r="A734" t="s">
        <v>3295</v>
      </c>
      <c r="B734" t="str">
        <f>"9780813553153"</f>
        <v>9780813553153</v>
      </c>
      <c r="C734" t="s">
        <v>3296</v>
      </c>
      <c r="D734" t="s">
        <v>3297</v>
      </c>
      <c r="E734" t="s">
        <v>299</v>
      </c>
      <c r="G734" t="s">
        <v>376</v>
      </c>
      <c r="H734" t="s">
        <v>3298</v>
      </c>
    </row>
    <row r="735" spans="1:8" x14ac:dyDescent="0.35">
      <c r="A735" t="s">
        <v>3299</v>
      </c>
      <c r="B735" t="str">
        <f>"9780826338426"</f>
        <v>9780826338426</v>
      </c>
      <c r="C735" t="s">
        <v>3300</v>
      </c>
      <c r="D735" t="s">
        <v>3301</v>
      </c>
      <c r="E735" t="s">
        <v>2439</v>
      </c>
      <c r="F735" t="s">
        <v>2448</v>
      </c>
      <c r="G735" t="s">
        <v>44</v>
      </c>
      <c r="H735" t="s">
        <v>3302</v>
      </c>
    </row>
    <row r="736" spans="1:8" x14ac:dyDescent="0.35">
      <c r="A736" t="s">
        <v>3303</v>
      </c>
      <c r="B736" t="str">
        <f>"9781611476613"</f>
        <v>9781611476613</v>
      </c>
      <c r="C736" t="s">
        <v>3304</v>
      </c>
      <c r="D736" t="s">
        <v>3305</v>
      </c>
      <c r="E736" t="s">
        <v>1606</v>
      </c>
      <c r="G736" t="s">
        <v>3306</v>
      </c>
      <c r="H736" t="s">
        <v>3307</v>
      </c>
    </row>
    <row r="737" spans="1:8" x14ac:dyDescent="0.35">
      <c r="A737" t="s">
        <v>3308</v>
      </c>
      <c r="B737" t="str">
        <f>"9780199937233"</f>
        <v>9780199937233</v>
      </c>
      <c r="C737" t="s">
        <v>3309</v>
      </c>
      <c r="D737" t="s">
        <v>3310</v>
      </c>
      <c r="E737" t="s">
        <v>355</v>
      </c>
      <c r="G737" t="s">
        <v>44</v>
      </c>
      <c r="H737" t="s">
        <v>3311</v>
      </c>
    </row>
    <row r="738" spans="1:8" x14ac:dyDescent="0.35">
      <c r="A738" t="s">
        <v>3312</v>
      </c>
      <c r="B738" t="str">
        <f>"9780826354471"</f>
        <v>9780826354471</v>
      </c>
      <c r="C738" t="s">
        <v>3313</v>
      </c>
      <c r="D738" t="s">
        <v>3314</v>
      </c>
      <c r="E738" t="s">
        <v>2439</v>
      </c>
      <c r="G738" t="s">
        <v>17</v>
      </c>
      <c r="H738" t="s">
        <v>3315</v>
      </c>
    </row>
    <row r="739" spans="1:8" x14ac:dyDescent="0.35">
      <c r="A739" t="s">
        <v>3316</v>
      </c>
      <c r="B739" t="str">
        <f>"9780804790574"</f>
        <v>9780804790574</v>
      </c>
      <c r="C739" t="s">
        <v>3317</v>
      </c>
      <c r="D739" t="s">
        <v>3318</v>
      </c>
      <c r="E739" t="s">
        <v>680</v>
      </c>
      <c r="G739" t="s">
        <v>55</v>
      </c>
      <c r="H739" t="s">
        <v>3319</v>
      </c>
    </row>
    <row r="740" spans="1:8" x14ac:dyDescent="0.35">
      <c r="A740" t="s">
        <v>3320</v>
      </c>
      <c r="B740" t="str">
        <f>"9780813048659"</f>
        <v>9780813048659</v>
      </c>
      <c r="C740" t="s">
        <v>3321</v>
      </c>
      <c r="D740" t="s">
        <v>3322</v>
      </c>
      <c r="E740" t="s">
        <v>1788</v>
      </c>
      <c r="G740" t="s">
        <v>44</v>
      </c>
      <c r="H740" t="s">
        <v>3323</v>
      </c>
    </row>
    <row r="741" spans="1:8" x14ac:dyDescent="0.35">
      <c r="A741" t="s">
        <v>3324</v>
      </c>
      <c r="B741" t="str">
        <f>"9781593327514"</f>
        <v>9781593327514</v>
      </c>
      <c r="C741" t="s">
        <v>3325</v>
      </c>
      <c r="D741" t="s">
        <v>3326</v>
      </c>
      <c r="E741" t="s">
        <v>2238</v>
      </c>
      <c r="F741" t="s">
        <v>2239</v>
      </c>
      <c r="G741" t="s">
        <v>112</v>
      </c>
      <c r="H741" t="s">
        <v>3327</v>
      </c>
    </row>
    <row r="742" spans="1:8" x14ac:dyDescent="0.35">
      <c r="A742" t="s">
        <v>3328</v>
      </c>
      <c r="B742" t="str">
        <f>"9780826344786"</f>
        <v>9780826344786</v>
      </c>
      <c r="C742" t="s">
        <v>3329</v>
      </c>
      <c r="D742" t="s">
        <v>3330</v>
      </c>
      <c r="E742" t="s">
        <v>2439</v>
      </c>
      <c r="G742" t="s">
        <v>39</v>
      </c>
      <c r="H742" t="s">
        <v>3331</v>
      </c>
    </row>
    <row r="743" spans="1:8" x14ac:dyDescent="0.35">
      <c r="A743" t="s">
        <v>3332</v>
      </c>
      <c r="B743" t="str">
        <f>"9780817386986"</f>
        <v>9780817386986</v>
      </c>
      <c r="C743" t="s">
        <v>3333</v>
      </c>
      <c r="D743" t="s">
        <v>3334</v>
      </c>
      <c r="E743" t="s">
        <v>417</v>
      </c>
      <c r="G743" t="s">
        <v>44</v>
      </c>
      <c r="H743" t="s">
        <v>3335</v>
      </c>
    </row>
    <row r="744" spans="1:8" x14ac:dyDescent="0.35">
      <c r="A744" t="s">
        <v>3336</v>
      </c>
      <c r="B744" t="str">
        <f>"9780817387228"</f>
        <v>9780817387228</v>
      </c>
      <c r="C744" t="s">
        <v>3337</v>
      </c>
      <c r="D744" t="s">
        <v>3338</v>
      </c>
      <c r="E744" t="s">
        <v>417</v>
      </c>
      <c r="G744" t="s">
        <v>60</v>
      </c>
      <c r="H744" t="s">
        <v>3339</v>
      </c>
    </row>
    <row r="745" spans="1:8" x14ac:dyDescent="0.35">
      <c r="A745" t="s">
        <v>3340</v>
      </c>
      <c r="B745" t="str">
        <f>"9780817387235"</f>
        <v>9780817387235</v>
      </c>
      <c r="C745" t="s">
        <v>3341</v>
      </c>
      <c r="D745" t="s">
        <v>3342</v>
      </c>
      <c r="E745" t="s">
        <v>417</v>
      </c>
      <c r="F745" t="s">
        <v>2065</v>
      </c>
      <c r="G745" t="s">
        <v>44</v>
      </c>
      <c r="H745" t="s">
        <v>3343</v>
      </c>
    </row>
    <row r="746" spans="1:8" x14ac:dyDescent="0.35">
      <c r="A746" t="s">
        <v>3344</v>
      </c>
      <c r="B746" t="str">
        <f>"9780813565484"</f>
        <v>9780813565484</v>
      </c>
      <c r="C746" t="s">
        <v>3345</v>
      </c>
      <c r="D746" t="s">
        <v>3346</v>
      </c>
      <c r="E746" t="s">
        <v>299</v>
      </c>
      <c r="F746" t="s">
        <v>1447</v>
      </c>
      <c r="G746" t="s">
        <v>60</v>
      </c>
      <c r="H746" t="s">
        <v>3347</v>
      </c>
    </row>
    <row r="747" spans="1:8" x14ac:dyDescent="0.35">
      <c r="A747" t="s">
        <v>3348</v>
      </c>
      <c r="B747" t="str">
        <f>"9781909183469"</f>
        <v>9781909183469</v>
      </c>
      <c r="C747" t="s">
        <v>3349</v>
      </c>
      <c r="D747" t="s">
        <v>3350</v>
      </c>
      <c r="E747" t="s">
        <v>3351</v>
      </c>
      <c r="G747" t="s">
        <v>139</v>
      </c>
      <c r="H747" t="s">
        <v>3352</v>
      </c>
    </row>
    <row r="748" spans="1:8" x14ac:dyDescent="0.35">
      <c r="A748" t="s">
        <v>3353</v>
      </c>
      <c r="B748" t="str">
        <f>"9780520959316"</f>
        <v>9780520959316</v>
      </c>
      <c r="C748" t="s">
        <v>3354</v>
      </c>
      <c r="D748" t="s">
        <v>3355</v>
      </c>
      <c r="E748" t="s">
        <v>69</v>
      </c>
      <c r="G748" t="s">
        <v>39</v>
      </c>
      <c r="H748" t="s">
        <v>3356</v>
      </c>
    </row>
    <row r="749" spans="1:8" x14ac:dyDescent="0.35">
      <c r="A749" t="s">
        <v>3357</v>
      </c>
      <c r="B749" t="str">
        <f>"9781623491390"</f>
        <v>9781623491390</v>
      </c>
      <c r="C749" t="s">
        <v>3358</v>
      </c>
      <c r="D749" t="s">
        <v>3359</v>
      </c>
      <c r="E749" t="s">
        <v>2225</v>
      </c>
      <c r="F749" t="s">
        <v>3360</v>
      </c>
      <c r="G749" t="s">
        <v>376</v>
      </c>
      <c r="H749" t="s">
        <v>3361</v>
      </c>
    </row>
    <row r="750" spans="1:8" x14ac:dyDescent="0.35">
      <c r="A750" t="s">
        <v>3362</v>
      </c>
      <c r="B750" t="str">
        <f>"9780813562865"</f>
        <v>9780813562865</v>
      </c>
      <c r="C750" t="s">
        <v>3363</v>
      </c>
      <c r="D750" t="s">
        <v>3364</v>
      </c>
      <c r="E750" t="s">
        <v>299</v>
      </c>
      <c r="F750" t="s">
        <v>3202</v>
      </c>
      <c r="G750" t="s">
        <v>39</v>
      </c>
      <c r="H750" t="s">
        <v>3365</v>
      </c>
    </row>
    <row r="751" spans="1:8" x14ac:dyDescent="0.35">
      <c r="A751" t="s">
        <v>3366</v>
      </c>
      <c r="B751" t="str">
        <f>"9780813048857"</f>
        <v>9780813048857</v>
      </c>
      <c r="C751" t="s">
        <v>3367</v>
      </c>
      <c r="D751" t="s">
        <v>3368</v>
      </c>
      <c r="E751" t="s">
        <v>1788</v>
      </c>
      <c r="G751" t="s">
        <v>60</v>
      </c>
      <c r="H751" t="s">
        <v>3369</v>
      </c>
    </row>
    <row r="752" spans="1:8" x14ac:dyDescent="0.35">
      <c r="A752" t="s">
        <v>3370</v>
      </c>
      <c r="B752" t="str">
        <f>"9781442229501"</f>
        <v>9781442229501</v>
      </c>
      <c r="C752" t="s">
        <v>3371</v>
      </c>
      <c r="D752" t="s">
        <v>3372</v>
      </c>
      <c r="E752" t="s">
        <v>524</v>
      </c>
      <c r="F752" t="s">
        <v>3373</v>
      </c>
      <c r="G752" t="s">
        <v>726</v>
      </c>
      <c r="H752" t="s">
        <v>3374</v>
      </c>
    </row>
    <row r="753" spans="1:8" x14ac:dyDescent="0.35">
      <c r="A753" t="s">
        <v>3375</v>
      </c>
      <c r="B753" t="str">
        <f>"9780813564630"</f>
        <v>9780813564630</v>
      </c>
      <c r="C753" t="s">
        <v>3376</v>
      </c>
      <c r="D753" t="s">
        <v>3377</v>
      </c>
      <c r="E753" t="s">
        <v>299</v>
      </c>
      <c r="F753" t="s">
        <v>1447</v>
      </c>
      <c r="G753" t="s">
        <v>55</v>
      </c>
      <c r="H753" t="s">
        <v>3378</v>
      </c>
    </row>
    <row r="754" spans="1:8" x14ac:dyDescent="0.35">
      <c r="A754" t="s">
        <v>3379</v>
      </c>
      <c r="B754" t="str">
        <f>"9781472414175"</f>
        <v>9781472414175</v>
      </c>
      <c r="C754" t="s">
        <v>3380</v>
      </c>
      <c r="D754" t="s">
        <v>3381</v>
      </c>
      <c r="E754" t="s">
        <v>11</v>
      </c>
      <c r="F754" t="s">
        <v>3382</v>
      </c>
      <c r="G754" t="s">
        <v>139</v>
      </c>
      <c r="H754" t="s">
        <v>3383</v>
      </c>
    </row>
    <row r="755" spans="1:8" x14ac:dyDescent="0.35">
      <c r="A755" t="s">
        <v>3384</v>
      </c>
      <c r="B755" t="str">
        <f>"9780826354679"</f>
        <v>9780826354679</v>
      </c>
      <c r="C755" t="s">
        <v>3385</v>
      </c>
      <c r="D755" t="s">
        <v>3386</v>
      </c>
      <c r="E755" t="s">
        <v>2439</v>
      </c>
      <c r="F755" t="s">
        <v>3387</v>
      </c>
      <c r="G755" t="s">
        <v>44</v>
      </c>
      <c r="H755" t="s">
        <v>3388</v>
      </c>
    </row>
    <row r="756" spans="1:8" x14ac:dyDescent="0.35">
      <c r="A756" t="s">
        <v>3389</v>
      </c>
      <c r="B756" t="str">
        <f>"9781611475777"</f>
        <v>9781611475777</v>
      </c>
      <c r="C756" t="s">
        <v>3390</v>
      </c>
      <c r="D756" t="s">
        <v>3391</v>
      </c>
      <c r="E756" t="s">
        <v>1606</v>
      </c>
      <c r="F756" t="s">
        <v>3392</v>
      </c>
      <c r="G756" t="s">
        <v>22</v>
      </c>
      <c r="H756" t="s">
        <v>3393</v>
      </c>
    </row>
    <row r="757" spans="1:8" x14ac:dyDescent="0.35">
      <c r="A757" t="s">
        <v>3394</v>
      </c>
      <c r="B757" t="str">
        <f>"9781613748374"</f>
        <v>9781613748374</v>
      </c>
      <c r="C757" t="s">
        <v>3395</v>
      </c>
      <c r="D757" t="s">
        <v>3396</v>
      </c>
      <c r="E757" t="s">
        <v>598</v>
      </c>
      <c r="G757" t="s">
        <v>133</v>
      </c>
      <c r="H757" t="s">
        <v>3397</v>
      </c>
    </row>
    <row r="758" spans="1:8" x14ac:dyDescent="0.35">
      <c r="A758" t="s">
        <v>3398</v>
      </c>
      <c r="B758" t="str">
        <f>"9780742568884"</f>
        <v>9780742568884</v>
      </c>
      <c r="C758" t="s">
        <v>3399</v>
      </c>
      <c r="D758" t="s">
        <v>3400</v>
      </c>
      <c r="E758" t="s">
        <v>524</v>
      </c>
      <c r="G758" t="s">
        <v>44</v>
      </c>
      <c r="H758" t="s">
        <v>3401</v>
      </c>
    </row>
    <row r="759" spans="1:8" x14ac:dyDescent="0.35">
      <c r="A759" t="s">
        <v>3402</v>
      </c>
      <c r="B759" t="str">
        <f>"9780739138748"</f>
        <v>9780739138748</v>
      </c>
      <c r="C759" t="s">
        <v>3403</v>
      </c>
      <c r="D759" t="s">
        <v>3404</v>
      </c>
      <c r="E759" t="s">
        <v>518</v>
      </c>
      <c r="G759" t="s">
        <v>17</v>
      </c>
      <c r="H759" t="s">
        <v>3405</v>
      </c>
    </row>
    <row r="760" spans="1:8" x14ac:dyDescent="0.35">
      <c r="A760" t="s">
        <v>3406</v>
      </c>
      <c r="B760" t="str">
        <f>"9780739175743"</f>
        <v>9780739175743</v>
      </c>
      <c r="C760" t="s">
        <v>3407</v>
      </c>
      <c r="D760" t="s">
        <v>3408</v>
      </c>
      <c r="E760" t="s">
        <v>518</v>
      </c>
      <c r="F760" t="s">
        <v>3409</v>
      </c>
      <c r="G760" t="s">
        <v>186</v>
      </c>
      <c r="H760" t="s">
        <v>3410</v>
      </c>
    </row>
    <row r="761" spans="1:8" x14ac:dyDescent="0.35">
      <c r="A761" t="s">
        <v>3411</v>
      </c>
      <c r="B761" t="str">
        <f>"9781443859196"</f>
        <v>9781443859196</v>
      </c>
      <c r="C761" t="s">
        <v>3412</v>
      </c>
      <c r="D761" t="s">
        <v>3413</v>
      </c>
      <c r="E761" t="s">
        <v>2326</v>
      </c>
      <c r="G761" t="s">
        <v>146</v>
      </c>
      <c r="H761" t="s">
        <v>3414</v>
      </c>
    </row>
    <row r="762" spans="1:8" x14ac:dyDescent="0.35">
      <c r="A762" t="s">
        <v>3415</v>
      </c>
      <c r="B762" t="str">
        <f>"9780813563169"</f>
        <v>9780813563169</v>
      </c>
      <c r="C762" t="s">
        <v>3416</v>
      </c>
      <c r="D762" t="s">
        <v>3417</v>
      </c>
      <c r="E762" t="s">
        <v>299</v>
      </c>
      <c r="G762" t="s">
        <v>39</v>
      </c>
      <c r="H762" t="s">
        <v>3418</v>
      </c>
    </row>
    <row r="763" spans="1:8" x14ac:dyDescent="0.35">
      <c r="A763" t="s">
        <v>3419</v>
      </c>
      <c r="B763" t="str">
        <f>"9780813565217"</f>
        <v>9780813565217</v>
      </c>
      <c r="C763" t="s">
        <v>3420</v>
      </c>
      <c r="D763" t="s">
        <v>3421</v>
      </c>
      <c r="E763" t="s">
        <v>299</v>
      </c>
      <c r="G763" t="s">
        <v>39</v>
      </c>
      <c r="H763" t="s">
        <v>3422</v>
      </c>
    </row>
    <row r="764" spans="1:8" x14ac:dyDescent="0.35">
      <c r="A764" t="s">
        <v>3423</v>
      </c>
      <c r="B764" t="str">
        <f>"9780813563190"</f>
        <v>9780813563190</v>
      </c>
      <c r="C764" t="s">
        <v>3424</v>
      </c>
      <c r="D764" t="s">
        <v>3425</v>
      </c>
      <c r="E764" t="s">
        <v>299</v>
      </c>
      <c r="F764" t="s">
        <v>1564</v>
      </c>
      <c r="G764" t="s">
        <v>39</v>
      </c>
      <c r="H764" t="s">
        <v>3426</v>
      </c>
    </row>
    <row r="765" spans="1:8" x14ac:dyDescent="0.35">
      <c r="A765" t="s">
        <v>3427</v>
      </c>
      <c r="B765" t="str">
        <f>"9781611476422"</f>
        <v>9781611476422</v>
      </c>
      <c r="C765" t="s">
        <v>3428</v>
      </c>
      <c r="D765" t="s">
        <v>3429</v>
      </c>
      <c r="E765" t="s">
        <v>1606</v>
      </c>
      <c r="G765" t="s">
        <v>60</v>
      </c>
      <c r="H765" t="s">
        <v>3430</v>
      </c>
    </row>
    <row r="766" spans="1:8" x14ac:dyDescent="0.35">
      <c r="A766" t="s">
        <v>3431</v>
      </c>
      <c r="B766" t="str">
        <f>"9781623491604"</f>
        <v>9781623491604</v>
      </c>
      <c r="C766" t="s">
        <v>3432</v>
      </c>
      <c r="D766" t="s">
        <v>3433</v>
      </c>
      <c r="E766" t="s">
        <v>2225</v>
      </c>
      <c r="F766" t="s">
        <v>3434</v>
      </c>
      <c r="G766" t="s">
        <v>305</v>
      </c>
      <c r="H766" t="s">
        <v>3435</v>
      </c>
    </row>
    <row r="767" spans="1:8" x14ac:dyDescent="0.35">
      <c r="A767" t="s">
        <v>3436</v>
      </c>
      <c r="B767" t="str">
        <f>"9780199337378"</f>
        <v>9780199337378</v>
      </c>
      <c r="C767" t="s">
        <v>3437</v>
      </c>
      <c r="D767" t="s">
        <v>3438</v>
      </c>
      <c r="E767" t="s">
        <v>349</v>
      </c>
      <c r="G767" t="s">
        <v>55</v>
      </c>
      <c r="H767" t="s">
        <v>3439</v>
      </c>
    </row>
    <row r="768" spans="1:8" x14ac:dyDescent="0.35">
      <c r="A768" t="s">
        <v>3440</v>
      </c>
      <c r="B768" t="str">
        <f>"9780739183250"</f>
        <v>9780739183250</v>
      </c>
      <c r="C768" t="s">
        <v>3441</v>
      </c>
      <c r="D768" t="s">
        <v>3442</v>
      </c>
      <c r="E768" t="s">
        <v>518</v>
      </c>
      <c r="G768" t="s">
        <v>139</v>
      </c>
      <c r="H768" t="s">
        <v>3443</v>
      </c>
    </row>
    <row r="769" spans="1:8" x14ac:dyDescent="0.35">
      <c r="A769" t="s">
        <v>3444</v>
      </c>
      <c r="B769" t="str">
        <f>"9780810880368"</f>
        <v>9780810880368</v>
      </c>
      <c r="C769" t="s">
        <v>3445</v>
      </c>
      <c r="D769" t="s">
        <v>3446</v>
      </c>
      <c r="E769" t="s">
        <v>524</v>
      </c>
      <c r="F769" t="s">
        <v>1088</v>
      </c>
      <c r="G769" t="s">
        <v>139</v>
      </c>
      <c r="H769" t="s">
        <v>3447</v>
      </c>
    </row>
    <row r="770" spans="1:8" x14ac:dyDescent="0.35">
      <c r="A770" t="s">
        <v>3448</v>
      </c>
      <c r="B770" t="str">
        <f>"9780826354778"</f>
        <v>9780826354778</v>
      </c>
      <c r="C770" t="s">
        <v>3449</v>
      </c>
      <c r="D770" t="s">
        <v>3450</v>
      </c>
      <c r="E770" t="s">
        <v>2439</v>
      </c>
      <c r="G770" t="s">
        <v>531</v>
      </c>
      <c r="H770" t="s">
        <v>3451</v>
      </c>
    </row>
    <row r="771" spans="1:8" x14ac:dyDescent="0.35">
      <c r="A771" t="s">
        <v>3452</v>
      </c>
      <c r="B771" t="str">
        <f>"9781623491659"</f>
        <v>9781623491659</v>
      </c>
      <c r="C771" t="s">
        <v>3453</v>
      </c>
      <c r="D771" t="s">
        <v>3454</v>
      </c>
      <c r="E771" t="s">
        <v>2225</v>
      </c>
      <c r="G771" t="s">
        <v>44</v>
      </c>
      <c r="H771" t="s">
        <v>3455</v>
      </c>
    </row>
    <row r="772" spans="1:8" x14ac:dyDescent="0.35">
      <c r="A772" t="s">
        <v>3456</v>
      </c>
      <c r="B772" t="str">
        <f>"9781452941622"</f>
        <v>9781452941622</v>
      </c>
      <c r="C772" t="s">
        <v>3457</v>
      </c>
      <c r="D772" t="s">
        <v>3458</v>
      </c>
      <c r="E772" t="s">
        <v>273</v>
      </c>
      <c r="G772" t="s">
        <v>1047</v>
      </c>
      <c r="H772" t="s">
        <v>3459</v>
      </c>
    </row>
    <row r="773" spans="1:8" x14ac:dyDescent="0.35">
      <c r="A773" t="s">
        <v>3460</v>
      </c>
      <c r="B773" t="str">
        <f>"9780739176184"</f>
        <v>9780739176184</v>
      </c>
      <c r="C773" t="s">
        <v>3461</v>
      </c>
      <c r="D773" t="s">
        <v>3462</v>
      </c>
      <c r="E773" t="s">
        <v>518</v>
      </c>
      <c r="G773" t="s">
        <v>726</v>
      </c>
      <c r="H773" t="s">
        <v>3463</v>
      </c>
    </row>
    <row r="774" spans="1:8" x14ac:dyDescent="0.35">
      <c r="A774" t="s">
        <v>3464</v>
      </c>
      <c r="B774" t="str">
        <f>"9781443860666"</f>
        <v>9781443860666</v>
      </c>
      <c r="C774" t="s">
        <v>3465</v>
      </c>
      <c r="D774" t="s">
        <v>3466</v>
      </c>
      <c r="E774" t="s">
        <v>2326</v>
      </c>
      <c r="G774" t="s">
        <v>60</v>
      </c>
      <c r="H774" t="s">
        <v>3467</v>
      </c>
    </row>
    <row r="775" spans="1:8" x14ac:dyDescent="0.35">
      <c r="A775" t="s">
        <v>3468</v>
      </c>
      <c r="B775" t="str">
        <f>"9781443860758"</f>
        <v>9781443860758</v>
      </c>
      <c r="C775" t="s">
        <v>3469</v>
      </c>
      <c r="D775" t="s">
        <v>3470</v>
      </c>
      <c r="E775" t="s">
        <v>2326</v>
      </c>
      <c r="G775" t="s">
        <v>39</v>
      </c>
      <c r="H775" t="s">
        <v>3471</v>
      </c>
    </row>
    <row r="776" spans="1:8" x14ac:dyDescent="0.35">
      <c r="A776" t="s">
        <v>3472</v>
      </c>
      <c r="B776" t="str">
        <f>"9781780232225"</f>
        <v>9781780232225</v>
      </c>
      <c r="C776" t="s">
        <v>3473</v>
      </c>
      <c r="D776" t="s">
        <v>3474</v>
      </c>
      <c r="E776" t="s">
        <v>960</v>
      </c>
      <c r="F776" t="s">
        <v>961</v>
      </c>
      <c r="G776" t="s">
        <v>139</v>
      </c>
      <c r="H776" t="s">
        <v>3475</v>
      </c>
    </row>
    <row r="777" spans="1:8" x14ac:dyDescent="0.35">
      <c r="A777" t="s">
        <v>3476</v>
      </c>
      <c r="B777" t="str">
        <f>"9780520959811"</f>
        <v>9780520959811</v>
      </c>
      <c r="C777" t="s">
        <v>3477</v>
      </c>
      <c r="D777" t="s">
        <v>3478</v>
      </c>
      <c r="E777" t="s">
        <v>69</v>
      </c>
      <c r="G777" t="s">
        <v>3479</v>
      </c>
      <c r="H777" t="s">
        <v>3480</v>
      </c>
    </row>
    <row r="778" spans="1:8" x14ac:dyDescent="0.35">
      <c r="A778" t="s">
        <v>3481</v>
      </c>
      <c r="B778" t="str">
        <f>"9780520958654"</f>
        <v>9780520958654</v>
      </c>
      <c r="C778" t="s">
        <v>3482</v>
      </c>
      <c r="D778" t="s">
        <v>3483</v>
      </c>
      <c r="E778" t="s">
        <v>69</v>
      </c>
      <c r="F778" t="s">
        <v>74</v>
      </c>
      <c r="G778" t="s">
        <v>157</v>
      </c>
      <c r="H778" t="s">
        <v>3484</v>
      </c>
    </row>
    <row r="779" spans="1:8" x14ac:dyDescent="0.35">
      <c r="A779" t="s">
        <v>3485</v>
      </c>
      <c r="B779" t="str">
        <f>"9780520960091"</f>
        <v>9780520960091</v>
      </c>
      <c r="C779" t="s">
        <v>3486</v>
      </c>
      <c r="D779" t="s">
        <v>3487</v>
      </c>
      <c r="E779" t="s">
        <v>69</v>
      </c>
      <c r="G779" t="s">
        <v>39</v>
      </c>
      <c r="H779" t="s">
        <v>3488</v>
      </c>
    </row>
    <row r="780" spans="1:8" x14ac:dyDescent="0.35">
      <c r="A780" t="s">
        <v>3489</v>
      </c>
      <c r="B780" t="str">
        <f>"9783110376555"</f>
        <v>9783110376555</v>
      </c>
      <c r="C780" t="s">
        <v>3490</v>
      </c>
      <c r="D780" t="s">
        <v>3491</v>
      </c>
      <c r="E780" t="s">
        <v>759</v>
      </c>
      <c r="F780" t="s">
        <v>3492</v>
      </c>
      <c r="G780" t="s">
        <v>60</v>
      </c>
      <c r="H780" t="s">
        <v>3493</v>
      </c>
    </row>
    <row r="781" spans="1:8" x14ac:dyDescent="0.35">
      <c r="A781" t="s">
        <v>3494</v>
      </c>
      <c r="B781" t="str">
        <f>"9781317793823"</f>
        <v>9781317793823</v>
      </c>
      <c r="C781" t="s">
        <v>3495</v>
      </c>
      <c r="D781" t="s">
        <v>3496</v>
      </c>
      <c r="E781" t="s">
        <v>11</v>
      </c>
      <c r="F781" t="s">
        <v>3497</v>
      </c>
      <c r="G781" t="s">
        <v>139</v>
      </c>
      <c r="H781" t="s">
        <v>3498</v>
      </c>
    </row>
    <row r="782" spans="1:8" x14ac:dyDescent="0.35">
      <c r="A782" t="s">
        <v>3499</v>
      </c>
      <c r="B782" t="str">
        <f>"9781611329933"</f>
        <v>9781611329933</v>
      </c>
      <c r="C782" t="s">
        <v>3500</v>
      </c>
      <c r="D782" t="s">
        <v>3501</v>
      </c>
      <c r="E782" t="s">
        <v>11</v>
      </c>
      <c r="G782" t="s">
        <v>44</v>
      </c>
      <c r="H782" t="s">
        <v>3502</v>
      </c>
    </row>
    <row r="783" spans="1:8" x14ac:dyDescent="0.35">
      <c r="A783" t="s">
        <v>3503</v>
      </c>
      <c r="B783" t="str">
        <f>"9780804792424"</f>
        <v>9780804792424</v>
      </c>
      <c r="C783" t="s">
        <v>3504</v>
      </c>
      <c r="D783" t="s">
        <v>3505</v>
      </c>
      <c r="E783" t="s">
        <v>680</v>
      </c>
      <c r="F783" t="s">
        <v>2051</v>
      </c>
      <c r="G783" t="s">
        <v>1116</v>
      </c>
      <c r="H783" t="s">
        <v>3506</v>
      </c>
    </row>
    <row r="784" spans="1:8" x14ac:dyDescent="0.35">
      <c r="A784" t="s">
        <v>3507</v>
      </c>
      <c r="B784" t="str">
        <f>"9781443862332"</f>
        <v>9781443862332</v>
      </c>
      <c r="C784" t="s">
        <v>3508</v>
      </c>
      <c r="D784" t="s">
        <v>3509</v>
      </c>
      <c r="E784" t="s">
        <v>2326</v>
      </c>
      <c r="G784" t="s">
        <v>3510</v>
      </c>
      <c r="H784" t="s">
        <v>3511</v>
      </c>
    </row>
    <row r="785" spans="1:8" x14ac:dyDescent="0.35">
      <c r="A785" t="s">
        <v>3512</v>
      </c>
      <c r="B785" t="str">
        <f>"9781443862837"</f>
        <v>9781443862837</v>
      </c>
      <c r="C785" t="s">
        <v>3513</v>
      </c>
      <c r="D785" t="s">
        <v>3514</v>
      </c>
      <c r="E785" t="s">
        <v>2326</v>
      </c>
      <c r="G785" t="s">
        <v>60</v>
      </c>
      <c r="H785" t="s">
        <v>3515</v>
      </c>
    </row>
    <row r="786" spans="1:8" x14ac:dyDescent="0.35">
      <c r="A786" t="s">
        <v>3516</v>
      </c>
      <c r="B786" t="str">
        <f>"9780739194201"</f>
        <v>9780739194201</v>
      </c>
      <c r="C786" t="s">
        <v>3517</v>
      </c>
      <c r="D786" t="s">
        <v>3518</v>
      </c>
      <c r="E786" t="s">
        <v>518</v>
      </c>
      <c r="F786" t="s">
        <v>3519</v>
      </c>
      <c r="G786" t="s">
        <v>3520</v>
      </c>
      <c r="H786" t="s">
        <v>3521</v>
      </c>
    </row>
    <row r="787" spans="1:8" x14ac:dyDescent="0.35">
      <c r="A787" t="s">
        <v>3522</v>
      </c>
      <c r="B787" t="str">
        <f>"9780739168691"</f>
        <v>9780739168691</v>
      </c>
      <c r="C787" t="s">
        <v>3523</v>
      </c>
      <c r="D787" t="s">
        <v>3524</v>
      </c>
      <c r="E787" t="s">
        <v>518</v>
      </c>
      <c r="G787" t="s">
        <v>186</v>
      </c>
      <c r="H787" t="s">
        <v>3525</v>
      </c>
    </row>
    <row r="788" spans="1:8" x14ac:dyDescent="0.35">
      <c r="A788" t="s">
        <v>3526</v>
      </c>
      <c r="B788" t="str">
        <f>"9780826354983"</f>
        <v>9780826354983</v>
      </c>
      <c r="C788" t="s">
        <v>3527</v>
      </c>
      <c r="D788" t="s">
        <v>3528</v>
      </c>
      <c r="E788" t="s">
        <v>2439</v>
      </c>
      <c r="F788" t="s">
        <v>2448</v>
      </c>
      <c r="G788" t="s">
        <v>39</v>
      </c>
      <c r="H788" t="s">
        <v>3529</v>
      </c>
    </row>
    <row r="789" spans="1:8" x14ac:dyDescent="0.35">
      <c r="A789" t="s">
        <v>3530</v>
      </c>
      <c r="B789" t="str">
        <f>"9781442231009"</f>
        <v>9781442231009</v>
      </c>
      <c r="C789" t="s">
        <v>3531</v>
      </c>
      <c r="D789" t="s">
        <v>3532</v>
      </c>
      <c r="E789" t="s">
        <v>524</v>
      </c>
      <c r="G789" t="s">
        <v>44</v>
      </c>
      <c r="H789" t="s">
        <v>3533</v>
      </c>
    </row>
    <row r="790" spans="1:8" x14ac:dyDescent="0.35">
      <c r="A790" t="s">
        <v>3534</v>
      </c>
      <c r="B790" t="str">
        <f>"9780804793124"</f>
        <v>9780804793124</v>
      </c>
      <c r="C790" t="s">
        <v>3535</v>
      </c>
      <c r="D790" t="s">
        <v>1812</v>
      </c>
      <c r="E790" t="s">
        <v>680</v>
      </c>
      <c r="G790" t="s">
        <v>44</v>
      </c>
      <c r="H790" t="s">
        <v>3536</v>
      </c>
    </row>
    <row r="791" spans="1:8" x14ac:dyDescent="0.35">
      <c r="A791" t="s">
        <v>3537</v>
      </c>
      <c r="B791" t="str">
        <f>"9780896804746"</f>
        <v>9780896804746</v>
      </c>
      <c r="C791" t="s">
        <v>3538</v>
      </c>
      <c r="D791" t="s">
        <v>3539</v>
      </c>
      <c r="E791" t="s">
        <v>3540</v>
      </c>
      <c r="F791" t="s">
        <v>3541</v>
      </c>
      <c r="G791" t="s">
        <v>305</v>
      </c>
      <c r="H791" t="s">
        <v>3542</v>
      </c>
    </row>
    <row r="792" spans="1:8" x14ac:dyDescent="0.35">
      <c r="A792" t="s">
        <v>3543</v>
      </c>
      <c r="B792" t="str">
        <f>"9780826355003"</f>
        <v>9780826355003</v>
      </c>
      <c r="C792" t="s">
        <v>3544</v>
      </c>
      <c r="D792" t="s">
        <v>3545</v>
      </c>
      <c r="E792" t="s">
        <v>2439</v>
      </c>
      <c r="G792" t="s">
        <v>96</v>
      </c>
      <c r="H792" t="s">
        <v>3546</v>
      </c>
    </row>
    <row r="793" spans="1:8" x14ac:dyDescent="0.35">
      <c r="A793" t="s">
        <v>3547</v>
      </c>
      <c r="B793" t="str">
        <f>"9780896804630"</f>
        <v>9780896804630</v>
      </c>
      <c r="C793" t="s">
        <v>3548</v>
      </c>
      <c r="D793" t="s">
        <v>3549</v>
      </c>
      <c r="E793" t="s">
        <v>3540</v>
      </c>
      <c r="F793" t="s">
        <v>3541</v>
      </c>
      <c r="G793" t="s">
        <v>376</v>
      </c>
      <c r="H793" t="s">
        <v>3550</v>
      </c>
    </row>
    <row r="794" spans="1:8" x14ac:dyDescent="0.35">
      <c r="A794" t="s">
        <v>3551</v>
      </c>
      <c r="B794" t="str">
        <f>"9781783202300"</f>
        <v>9781783202300</v>
      </c>
      <c r="C794" t="s">
        <v>3552</v>
      </c>
      <c r="D794" t="s">
        <v>3553</v>
      </c>
      <c r="E794" t="s">
        <v>3554</v>
      </c>
      <c r="F794" t="s">
        <v>3555</v>
      </c>
      <c r="G794" t="s">
        <v>139</v>
      </c>
      <c r="H794" t="s">
        <v>3556</v>
      </c>
    </row>
    <row r="795" spans="1:8" x14ac:dyDescent="0.35">
      <c r="A795" t="s">
        <v>3557</v>
      </c>
      <c r="B795" t="str">
        <f>"9780520959675"</f>
        <v>9780520959675</v>
      </c>
      <c r="C795" t="s">
        <v>3558</v>
      </c>
      <c r="D795" t="s">
        <v>3559</v>
      </c>
      <c r="E795" t="s">
        <v>69</v>
      </c>
      <c r="G795" t="s">
        <v>133</v>
      </c>
      <c r="H795" t="s">
        <v>3560</v>
      </c>
    </row>
    <row r="796" spans="1:8" x14ac:dyDescent="0.35">
      <c r="A796" t="s">
        <v>3561</v>
      </c>
      <c r="B796" t="str">
        <f>"9780817383367"</f>
        <v>9780817383367</v>
      </c>
      <c r="C796" t="s">
        <v>3562</v>
      </c>
      <c r="D796" t="s">
        <v>3563</v>
      </c>
      <c r="E796" t="s">
        <v>417</v>
      </c>
      <c r="G796" t="s">
        <v>83</v>
      </c>
      <c r="H796" t="s">
        <v>3564</v>
      </c>
    </row>
    <row r="797" spans="1:8" x14ac:dyDescent="0.35">
      <c r="A797" t="s">
        <v>3565</v>
      </c>
      <c r="B797" t="str">
        <f>"9780809333431"</f>
        <v>9780809333431</v>
      </c>
      <c r="C797" t="s">
        <v>3566</v>
      </c>
      <c r="D797" t="s">
        <v>3567</v>
      </c>
      <c r="E797" t="s">
        <v>3021</v>
      </c>
      <c r="G797" t="s">
        <v>112</v>
      </c>
      <c r="H797" t="s">
        <v>3568</v>
      </c>
    </row>
    <row r="798" spans="1:8" x14ac:dyDescent="0.35">
      <c r="A798" t="s">
        <v>3569</v>
      </c>
      <c r="B798" t="str">
        <f>"9780761863564"</f>
        <v>9780761863564</v>
      </c>
      <c r="C798" t="s">
        <v>3570</v>
      </c>
      <c r="D798" t="s">
        <v>3571</v>
      </c>
      <c r="E798" t="s">
        <v>2150</v>
      </c>
      <c r="G798" t="s">
        <v>3572</v>
      </c>
      <c r="H798" t="s">
        <v>3573</v>
      </c>
    </row>
    <row r="799" spans="1:8" x14ac:dyDescent="0.35">
      <c r="A799" t="s">
        <v>3574</v>
      </c>
      <c r="B799" t="str">
        <f>"9780826346605"</f>
        <v>9780826346605</v>
      </c>
      <c r="C799" t="s">
        <v>3575</v>
      </c>
      <c r="D799" t="s">
        <v>3576</v>
      </c>
      <c r="E799" t="s">
        <v>2439</v>
      </c>
      <c r="F799" t="s">
        <v>2448</v>
      </c>
      <c r="G799" t="s">
        <v>186</v>
      </c>
      <c r="H799" t="s">
        <v>3577</v>
      </c>
    </row>
    <row r="800" spans="1:8" x14ac:dyDescent="0.35">
      <c r="A800" t="s">
        <v>3578</v>
      </c>
      <c r="B800" t="str">
        <f>"9789461660534"</f>
        <v>9789461660534</v>
      </c>
      <c r="C800" t="s">
        <v>3579</v>
      </c>
      <c r="D800" t="s">
        <v>3580</v>
      </c>
      <c r="E800" t="s">
        <v>3581</v>
      </c>
      <c r="F800" t="s">
        <v>3582</v>
      </c>
      <c r="G800" t="s">
        <v>60</v>
      </c>
      <c r="H800" t="s">
        <v>3583</v>
      </c>
    </row>
    <row r="801" spans="1:8" x14ac:dyDescent="0.35">
      <c r="A801" t="s">
        <v>3584</v>
      </c>
      <c r="B801" t="str">
        <f>"9781611470215"</f>
        <v>9781611470215</v>
      </c>
      <c r="C801" t="s">
        <v>3585</v>
      </c>
      <c r="D801" t="s">
        <v>3586</v>
      </c>
      <c r="E801" t="s">
        <v>1606</v>
      </c>
      <c r="G801" t="s">
        <v>60</v>
      </c>
      <c r="H801" t="s">
        <v>3587</v>
      </c>
    </row>
    <row r="802" spans="1:8" x14ac:dyDescent="0.35">
      <c r="A802" t="s">
        <v>3588</v>
      </c>
      <c r="B802" t="str">
        <f>"9781611480016"</f>
        <v>9781611480016</v>
      </c>
      <c r="C802" t="s">
        <v>3589</v>
      </c>
      <c r="D802" t="s">
        <v>3590</v>
      </c>
      <c r="E802" t="s">
        <v>1328</v>
      </c>
      <c r="G802" t="s">
        <v>60</v>
      </c>
      <c r="H802" t="s">
        <v>3591</v>
      </c>
    </row>
    <row r="803" spans="1:8" x14ac:dyDescent="0.35">
      <c r="A803" t="s">
        <v>3592</v>
      </c>
      <c r="B803" t="str">
        <f>"9780804792974"</f>
        <v>9780804792974</v>
      </c>
      <c r="C803" t="s">
        <v>3593</v>
      </c>
      <c r="D803" t="s">
        <v>3594</v>
      </c>
      <c r="E803" t="s">
        <v>680</v>
      </c>
      <c r="G803" t="s">
        <v>157</v>
      </c>
      <c r="H803" t="s">
        <v>3595</v>
      </c>
    </row>
    <row r="804" spans="1:8" x14ac:dyDescent="0.35">
      <c r="A804" t="s">
        <v>3596</v>
      </c>
      <c r="B804" t="str">
        <f>"9789401211680"</f>
        <v>9789401211680</v>
      </c>
      <c r="C804" t="s">
        <v>3597</v>
      </c>
      <c r="D804" t="s">
        <v>3598</v>
      </c>
      <c r="E804" t="s">
        <v>540</v>
      </c>
      <c r="F804" t="s">
        <v>3599</v>
      </c>
      <c r="G804" t="s">
        <v>60</v>
      </c>
      <c r="H804" t="s">
        <v>3600</v>
      </c>
    </row>
    <row r="805" spans="1:8" x14ac:dyDescent="0.35">
      <c r="A805" t="s">
        <v>3601</v>
      </c>
      <c r="B805" t="str">
        <f>"9781847315298"</f>
        <v>9781847315298</v>
      </c>
      <c r="C805" t="s">
        <v>3602</v>
      </c>
      <c r="D805" t="s">
        <v>3603</v>
      </c>
      <c r="E805" t="s">
        <v>3604</v>
      </c>
      <c r="G805" t="s">
        <v>1116</v>
      </c>
      <c r="H805" t="s">
        <v>3605</v>
      </c>
    </row>
    <row r="806" spans="1:8" x14ac:dyDescent="0.35">
      <c r="A806" t="s">
        <v>3606</v>
      </c>
      <c r="B806" t="str">
        <f>"9780813565705"</f>
        <v>9780813565705</v>
      </c>
      <c r="C806" t="s">
        <v>3607</v>
      </c>
      <c r="D806" t="s">
        <v>3608</v>
      </c>
      <c r="E806" t="s">
        <v>299</v>
      </c>
      <c r="F806" t="s">
        <v>1447</v>
      </c>
      <c r="G806" t="s">
        <v>186</v>
      </c>
      <c r="H806" t="s">
        <v>3609</v>
      </c>
    </row>
    <row r="807" spans="1:8" x14ac:dyDescent="0.35">
      <c r="A807" t="s">
        <v>3610</v>
      </c>
      <c r="B807" t="str">
        <f>"9780520959507"</f>
        <v>9780520959507</v>
      </c>
      <c r="C807" t="s">
        <v>3611</v>
      </c>
      <c r="D807" t="s">
        <v>3612</v>
      </c>
      <c r="E807" t="s">
        <v>69</v>
      </c>
      <c r="G807" t="s">
        <v>17</v>
      </c>
      <c r="H807" t="s">
        <v>3613</v>
      </c>
    </row>
    <row r="808" spans="1:8" x14ac:dyDescent="0.35">
      <c r="A808" t="s">
        <v>3614</v>
      </c>
      <c r="B808" t="str">
        <f>"9780739176047"</f>
        <v>9780739176047</v>
      </c>
      <c r="C808" t="s">
        <v>3615</v>
      </c>
      <c r="D808" t="s">
        <v>3616</v>
      </c>
      <c r="E808" t="s">
        <v>518</v>
      </c>
      <c r="G808" t="s">
        <v>3617</v>
      </c>
      <c r="H808" t="s">
        <v>3618</v>
      </c>
    </row>
    <row r="809" spans="1:8" x14ac:dyDescent="0.35">
      <c r="A809" t="s">
        <v>3619</v>
      </c>
      <c r="B809" t="str">
        <f>"9780739199527"</f>
        <v>9780739199527</v>
      </c>
      <c r="C809" t="s">
        <v>3620</v>
      </c>
      <c r="D809" t="s">
        <v>3621</v>
      </c>
      <c r="E809" t="s">
        <v>518</v>
      </c>
      <c r="G809" t="s">
        <v>139</v>
      </c>
      <c r="H809" t="s">
        <v>3622</v>
      </c>
    </row>
    <row r="810" spans="1:8" x14ac:dyDescent="0.35">
      <c r="A810" t="s">
        <v>3623</v>
      </c>
      <c r="B810" t="str">
        <f>"9781611486117"</f>
        <v>9781611486117</v>
      </c>
      <c r="C810" t="s">
        <v>3624</v>
      </c>
      <c r="D810" t="s">
        <v>3625</v>
      </c>
      <c r="E810" t="s">
        <v>1328</v>
      </c>
      <c r="G810" t="s">
        <v>1727</v>
      </c>
      <c r="H810" t="s">
        <v>3626</v>
      </c>
    </row>
    <row r="811" spans="1:8" x14ac:dyDescent="0.35">
      <c r="A811" t="s">
        <v>3627</v>
      </c>
      <c r="B811" t="str">
        <f>"9781784410674"</f>
        <v>9781784410674</v>
      </c>
      <c r="C811" t="s">
        <v>3628</v>
      </c>
      <c r="D811" t="s">
        <v>3629</v>
      </c>
      <c r="E811" t="s">
        <v>450</v>
      </c>
      <c r="F811" t="s">
        <v>3630</v>
      </c>
      <c r="G811" t="s">
        <v>28</v>
      </c>
      <c r="H811" t="s">
        <v>3631</v>
      </c>
    </row>
    <row r="812" spans="1:8" x14ac:dyDescent="0.35">
      <c r="A812" t="s">
        <v>3632</v>
      </c>
      <c r="B812" t="str">
        <f>"9781780327440"</f>
        <v>9781780327440</v>
      </c>
      <c r="C812" t="s">
        <v>3633</v>
      </c>
      <c r="D812" t="s">
        <v>3634</v>
      </c>
      <c r="E812" t="s">
        <v>694</v>
      </c>
      <c r="G812" t="s">
        <v>2654</v>
      </c>
      <c r="H812" t="s">
        <v>3635</v>
      </c>
    </row>
    <row r="813" spans="1:8" x14ac:dyDescent="0.35">
      <c r="A813" t="s">
        <v>3636</v>
      </c>
      <c r="B813" t="str">
        <f>"9783110406733"</f>
        <v>9783110406733</v>
      </c>
      <c r="C813" t="s">
        <v>3637</v>
      </c>
      <c r="D813" t="s">
        <v>3638</v>
      </c>
      <c r="E813" t="s">
        <v>759</v>
      </c>
      <c r="F813" t="s">
        <v>3639</v>
      </c>
      <c r="G813" t="s">
        <v>146</v>
      </c>
      <c r="H813" t="s">
        <v>3640</v>
      </c>
    </row>
    <row r="814" spans="1:8" x14ac:dyDescent="0.35">
      <c r="A814" t="s">
        <v>3641</v>
      </c>
      <c r="B814" t="str">
        <f>"9783110404142"</f>
        <v>9783110404142</v>
      </c>
      <c r="C814" t="s">
        <v>3642</v>
      </c>
      <c r="D814" t="s">
        <v>3643</v>
      </c>
      <c r="E814" t="s">
        <v>759</v>
      </c>
      <c r="F814" t="s">
        <v>3639</v>
      </c>
      <c r="G814" t="s">
        <v>214</v>
      </c>
      <c r="H814" t="s">
        <v>3644</v>
      </c>
    </row>
    <row r="815" spans="1:8" x14ac:dyDescent="0.35">
      <c r="A815" t="s">
        <v>3645</v>
      </c>
      <c r="B815" t="str">
        <f>"9780826351999"</f>
        <v>9780826351999</v>
      </c>
      <c r="C815" t="s">
        <v>3646</v>
      </c>
      <c r="D815" t="s">
        <v>3647</v>
      </c>
      <c r="E815" t="s">
        <v>2439</v>
      </c>
      <c r="F815" t="s">
        <v>2448</v>
      </c>
      <c r="G815" t="s">
        <v>39</v>
      </c>
      <c r="H815" t="s">
        <v>3648</v>
      </c>
    </row>
    <row r="816" spans="1:8" x14ac:dyDescent="0.35">
      <c r="A816" t="s">
        <v>3649</v>
      </c>
      <c r="B816" t="str">
        <f>"9780739193327"</f>
        <v>9780739193327</v>
      </c>
      <c r="C816" t="s">
        <v>3650</v>
      </c>
      <c r="D816" t="s">
        <v>3651</v>
      </c>
      <c r="E816" t="s">
        <v>518</v>
      </c>
      <c r="G816" t="s">
        <v>44</v>
      </c>
      <c r="H816" t="s">
        <v>3652</v>
      </c>
    </row>
    <row r="817" spans="1:8" x14ac:dyDescent="0.35">
      <c r="A817" t="s">
        <v>3653</v>
      </c>
      <c r="B817" t="str">
        <f>"9780813048826"</f>
        <v>9780813048826</v>
      </c>
      <c r="C817" t="s">
        <v>3654</v>
      </c>
      <c r="D817" t="s">
        <v>3655</v>
      </c>
      <c r="E817" t="s">
        <v>1788</v>
      </c>
      <c r="G817" t="s">
        <v>44</v>
      </c>
      <c r="H817" t="s">
        <v>3656</v>
      </c>
    </row>
    <row r="818" spans="1:8" x14ac:dyDescent="0.35">
      <c r="A818" t="s">
        <v>3657</v>
      </c>
      <c r="B818" t="str">
        <f>"9780520959965"</f>
        <v>9780520959965</v>
      </c>
      <c r="C818" t="s">
        <v>3658</v>
      </c>
      <c r="D818" t="s">
        <v>3659</v>
      </c>
      <c r="E818" t="s">
        <v>69</v>
      </c>
      <c r="F818" t="s">
        <v>2794</v>
      </c>
      <c r="G818" t="s">
        <v>3660</v>
      </c>
      <c r="H818" t="s">
        <v>3661</v>
      </c>
    </row>
    <row r="819" spans="1:8" x14ac:dyDescent="0.35">
      <c r="A819" t="s">
        <v>3662</v>
      </c>
      <c r="B819" t="str">
        <f>"9780826353597"</f>
        <v>9780826353597</v>
      </c>
      <c r="C819" t="s">
        <v>3663</v>
      </c>
      <c r="D819" t="s">
        <v>3664</v>
      </c>
      <c r="E819" t="s">
        <v>2439</v>
      </c>
      <c r="G819" t="s">
        <v>55</v>
      </c>
      <c r="H819" t="s">
        <v>3665</v>
      </c>
    </row>
    <row r="820" spans="1:8" x14ac:dyDescent="0.35">
      <c r="A820" t="s">
        <v>3666</v>
      </c>
      <c r="B820" t="str">
        <f>"9780804040228"</f>
        <v>9780804040228</v>
      </c>
      <c r="C820" t="s">
        <v>3667</v>
      </c>
      <c r="D820" t="s">
        <v>3668</v>
      </c>
      <c r="E820" t="s">
        <v>3540</v>
      </c>
      <c r="G820" t="s">
        <v>44</v>
      </c>
      <c r="H820" t="s">
        <v>3669</v>
      </c>
    </row>
    <row r="821" spans="1:8" x14ac:dyDescent="0.35">
      <c r="A821" t="s">
        <v>3670</v>
      </c>
      <c r="B821" t="str">
        <f>"9781443867979"</f>
        <v>9781443867979</v>
      </c>
      <c r="C821" t="s">
        <v>3671</v>
      </c>
      <c r="D821" t="s">
        <v>3672</v>
      </c>
      <c r="E821" t="s">
        <v>2326</v>
      </c>
      <c r="G821" t="s">
        <v>39</v>
      </c>
      <c r="H821" t="s">
        <v>3673</v>
      </c>
    </row>
    <row r="822" spans="1:8" x14ac:dyDescent="0.35">
      <c r="A822" t="s">
        <v>3674</v>
      </c>
      <c r="B822" t="str">
        <f>"9780231538428"</f>
        <v>9780231538428</v>
      </c>
      <c r="C822" t="s">
        <v>3675</v>
      </c>
      <c r="D822" t="s">
        <v>1754</v>
      </c>
      <c r="E822" t="s">
        <v>1755</v>
      </c>
      <c r="G822" t="s">
        <v>39</v>
      </c>
      <c r="H822" t="s">
        <v>3676</v>
      </c>
    </row>
    <row r="823" spans="1:8" x14ac:dyDescent="0.35">
      <c r="A823" t="s">
        <v>3677</v>
      </c>
      <c r="B823" t="str">
        <f>"9780813565453"</f>
        <v>9780813565453</v>
      </c>
      <c r="C823" t="s">
        <v>3678</v>
      </c>
      <c r="D823" t="s">
        <v>3679</v>
      </c>
      <c r="E823" t="s">
        <v>299</v>
      </c>
      <c r="G823" t="s">
        <v>39</v>
      </c>
      <c r="H823" t="s">
        <v>3680</v>
      </c>
    </row>
    <row r="824" spans="1:8" x14ac:dyDescent="0.35">
      <c r="A824" t="s">
        <v>3681</v>
      </c>
      <c r="B824" t="str">
        <f>"9780813564586"</f>
        <v>9780813564586</v>
      </c>
      <c r="C824" t="s">
        <v>3682</v>
      </c>
      <c r="D824" t="s">
        <v>3683</v>
      </c>
      <c r="E824" t="s">
        <v>299</v>
      </c>
      <c r="F824" t="s">
        <v>1447</v>
      </c>
      <c r="G824" t="s">
        <v>305</v>
      </c>
      <c r="H824" t="s">
        <v>3684</v>
      </c>
    </row>
    <row r="825" spans="1:8" x14ac:dyDescent="0.35">
      <c r="A825" t="s">
        <v>3685</v>
      </c>
      <c r="B825" t="str">
        <f>"9780813568560"</f>
        <v>9780813568560</v>
      </c>
      <c r="C825" t="s">
        <v>3686</v>
      </c>
      <c r="D825" t="s">
        <v>3687</v>
      </c>
      <c r="E825" t="s">
        <v>299</v>
      </c>
      <c r="F825" t="s">
        <v>1564</v>
      </c>
      <c r="G825" t="s">
        <v>39</v>
      </c>
      <c r="H825" t="s">
        <v>3688</v>
      </c>
    </row>
    <row r="826" spans="1:8" x14ac:dyDescent="0.35">
      <c r="A826" t="s">
        <v>3689</v>
      </c>
      <c r="B826" t="str">
        <f>"9780253012654"</f>
        <v>9780253012654</v>
      </c>
      <c r="C826" t="s">
        <v>3690</v>
      </c>
      <c r="D826" t="s">
        <v>3691</v>
      </c>
      <c r="E826" t="s">
        <v>151</v>
      </c>
      <c r="F826" t="s">
        <v>3692</v>
      </c>
      <c r="G826" t="s">
        <v>3510</v>
      </c>
      <c r="H826" t="s">
        <v>3693</v>
      </c>
    </row>
    <row r="827" spans="1:8" x14ac:dyDescent="0.35">
      <c r="A827" t="s">
        <v>3694</v>
      </c>
      <c r="B827" t="str">
        <f>"9780804793049"</f>
        <v>9780804793049</v>
      </c>
      <c r="C827" t="s">
        <v>3695</v>
      </c>
      <c r="D827" t="s">
        <v>3696</v>
      </c>
      <c r="E827" t="s">
        <v>680</v>
      </c>
      <c r="G827" t="s">
        <v>268</v>
      </c>
      <c r="H827" t="s">
        <v>3697</v>
      </c>
    </row>
    <row r="828" spans="1:8" x14ac:dyDescent="0.35">
      <c r="A828" t="s">
        <v>3698</v>
      </c>
      <c r="B828" t="str">
        <f>"9781783203406"</f>
        <v>9781783203406</v>
      </c>
      <c r="C828" t="s">
        <v>3699</v>
      </c>
      <c r="D828" t="s">
        <v>3700</v>
      </c>
      <c r="E828" t="s">
        <v>3701</v>
      </c>
      <c r="F828" t="s">
        <v>3702</v>
      </c>
      <c r="G828" t="s">
        <v>3703</v>
      </c>
      <c r="H828" t="s">
        <v>3704</v>
      </c>
    </row>
    <row r="829" spans="1:8" x14ac:dyDescent="0.35">
      <c r="A829" t="s">
        <v>3705</v>
      </c>
      <c r="B829" t="str">
        <f>"9780826355287"</f>
        <v>9780826355287</v>
      </c>
      <c r="C829" t="s">
        <v>3706</v>
      </c>
      <c r="D829" t="s">
        <v>3707</v>
      </c>
      <c r="E829" t="s">
        <v>2439</v>
      </c>
      <c r="G829" t="s">
        <v>60</v>
      </c>
      <c r="H829" t="s">
        <v>3708</v>
      </c>
    </row>
    <row r="830" spans="1:8" x14ac:dyDescent="0.35">
      <c r="A830" t="s">
        <v>3709</v>
      </c>
      <c r="B830" t="str">
        <f>"9780804793100"</f>
        <v>9780804793100</v>
      </c>
      <c r="C830" t="s">
        <v>3710</v>
      </c>
      <c r="D830" t="s">
        <v>3711</v>
      </c>
      <c r="E830" t="s">
        <v>680</v>
      </c>
      <c r="G830" t="s">
        <v>3712</v>
      </c>
      <c r="H830" t="s">
        <v>3713</v>
      </c>
    </row>
    <row r="831" spans="1:8" x14ac:dyDescent="0.35">
      <c r="A831" t="s">
        <v>3714</v>
      </c>
      <c r="B831" t="str">
        <f>"9781443869904"</f>
        <v>9781443869904</v>
      </c>
      <c r="C831" t="s">
        <v>3715</v>
      </c>
      <c r="D831" t="s">
        <v>3716</v>
      </c>
      <c r="E831" t="s">
        <v>2326</v>
      </c>
      <c r="G831" t="s">
        <v>305</v>
      </c>
      <c r="H831" t="s">
        <v>3717</v>
      </c>
    </row>
    <row r="832" spans="1:8" x14ac:dyDescent="0.35">
      <c r="A832" t="s">
        <v>3718</v>
      </c>
      <c r="B832" t="str">
        <f>"9781443870436"</f>
        <v>9781443870436</v>
      </c>
      <c r="C832" t="s">
        <v>3719</v>
      </c>
      <c r="D832" t="s">
        <v>3720</v>
      </c>
      <c r="E832" t="s">
        <v>2326</v>
      </c>
      <c r="G832" t="s">
        <v>39</v>
      </c>
      <c r="H832" t="s">
        <v>3721</v>
      </c>
    </row>
    <row r="833" spans="1:8" x14ac:dyDescent="0.35">
      <c r="A833" t="s">
        <v>3722</v>
      </c>
      <c r="B833" t="str">
        <f>"9780739182673"</f>
        <v>9780739182673</v>
      </c>
      <c r="C833" t="s">
        <v>3723</v>
      </c>
      <c r="D833" t="s">
        <v>3724</v>
      </c>
      <c r="E833" t="s">
        <v>518</v>
      </c>
      <c r="G833" t="s">
        <v>22</v>
      </c>
      <c r="H833" t="s">
        <v>3725</v>
      </c>
    </row>
    <row r="834" spans="1:8" x14ac:dyDescent="0.35">
      <c r="A834" t="s">
        <v>3726</v>
      </c>
      <c r="B834" t="str">
        <f>"9789004249493"</f>
        <v>9789004249493</v>
      </c>
      <c r="C834" t="s">
        <v>3727</v>
      </c>
      <c r="D834" t="s">
        <v>3728</v>
      </c>
      <c r="E834" t="s">
        <v>540</v>
      </c>
      <c r="G834" t="s">
        <v>146</v>
      </c>
      <c r="H834" t="s">
        <v>3729</v>
      </c>
    </row>
    <row r="835" spans="1:8" x14ac:dyDescent="0.35">
      <c r="A835" t="s">
        <v>3730</v>
      </c>
      <c r="B835" t="str">
        <f>"9781452942179"</f>
        <v>9781452942179</v>
      </c>
      <c r="C835" t="s">
        <v>3731</v>
      </c>
      <c r="D835" t="s">
        <v>3732</v>
      </c>
      <c r="E835" t="s">
        <v>273</v>
      </c>
      <c r="G835" t="s">
        <v>60</v>
      </c>
      <c r="H835" t="s">
        <v>3733</v>
      </c>
    </row>
    <row r="836" spans="1:8" x14ac:dyDescent="0.35">
      <c r="A836" t="s">
        <v>3734</v>
      </c>
      <c r="B836" t="str">
        <f>"9780231520355"</f>
        <v>9780231520355</v>
      </c>
      <c r="C836" t="s">
        <v>3735</v>
      </c>
      <c r="D836" t="s">
        <v>3736</v>
      </c>
      <c r="E836" t="s">
        <v>1755</v>
      </c>
      <c r="F836" t="s">
        <v>3737</v>
      </c>
      <c r="G836" t="s">
        <v>96</v>
      </c>
      <c r="H836" t="s">
        <v>3738</v>
      </c>
    </row>
    <row r="837" spans="1:8" x14ac:dyDescent="0.35">
      <c r="A837" t="s">
        <v>3739</v>
      </c>
      <c r="B837" t="str">
        <f>"9780199335961"</f>
        <v>9780199335961</v>
      </c>
      <c r="C837" t="s">
        <v>3740</v>
      </c>
      <c r="D837" t="s">
        <v>3741</v>
      </c>
      <c r="E837" t="s">
        <v>355</v>
      </c>
      <c r="G837" t="s">
        <v>376</v>
      </c>
      <c r="H837" t="s">
        <v>3742</v>
      </c>
    </row>
    <row r="838" spans="1:8" x14ac:dyDescent="0.35">
      <c r="A838" t="s">
        <v>3743</v>
      </c>
      <c r="B838" t="str">
        <f>"9780813055039"</f>
        <v>9780813055039</v>
      </c>
      <c r="C838" t="s">
        <v>3744</v>
      </c>
      <c r="D838" t="s">
        <v>3745</v>
      </c>
      <c r="E838" t="s">
        <v>1788</v>
      </c>
      <c r="G838" t="s">
        <v>726</v>
      </c>
      <c r="H838" t="s">
        <v>3746</v>
      </c>
    </row>
    <row r="839" spans="1:8" x14ac:dyDescent="0.35">
      <c r="A839" t="s">
        <v>3747</v>
      </c>
      <c r="B839" t="str">
        <f>"9780803266827"</f>
        <v>9780803266827</v>
      </c>
      <c r="C839" t="s">
        <v>3748</v>
      </c>
      <c r="D839" t="s">
        <v>3749</v>
      </c>
      <c r="E839" t="s">
        <v>1191</v>
      </c>
      <c r="F839" t="s">
        <v>576</v>
      </c>
      <c r="G839" t="s">
        <v>39</v>
      </c>
      <c r="H839" t="s">
        <v>3750</v>
      </c>
    </row>
    <row r="840" spans="1:8" x14ac:dyDescent="0.35">
      <c r="A840" t="s">
        <v>3751</v>
      </c>
      <c r="B840" t="str">
        <f>"9780813055053"</f>
        <v>9780813055053</v>
      </c>
      <c r="C840" t="s">
        <v>3752</v>
      </c>
      <c r="D840" t="s">
        <v>3753</v>
      </c>
      <c r="E840" t="s">
        <v>1788</v>
      </c>
      <c r="G840" t="s">
        <v>44</v>
      </c>
      <c r="H840" t="s">
        <v>3754</v>
      </c>
    </row>
    <row r="841" spans="1:8" x14ac:dyDescent="0.35">
      <c r="A841" t="s">
        <v>3755</v>
      </c>
      <c r="B841" t="str">
        <f>"9781472435781"</f>
        <v>9781472435781</v>
      </c>
      <c r="C841" t="s">
        <v>3756</v>
      </c>
      <c r="D841" t="s">
        <v>3757</v>
      </c>
      <c r="E841" t="s">
        <v>11</v>
      </c>
      <c r="F841" t="s">
        <v>3758</v>
      </c>
      <c r="G841" t="s">
        <v>60</v>
      </c>
      <c r="H841" t="s">
        <v>3759</v>
      </c>
    </row>
    <row r="842" spans="1:8" x14ac:dyDescent="0.35">
      <c r="A842" t="s">
        <v>3760</v>
      </c>
      <c r="B842" t="str">
        <f>"9781623492229"</f>
        <v>9781623492229</v>
      </c>
      <c r="C842" t="s">
        <v>3761</v>
      </c>
      <c r="D842" t="s">
        <v>3762</v>
      </c>
      <c r="E842" t="s">
        <v>2225</v>
      </c>
      <c r="F842" t="s">
        <v>3763</v>
      </c>
      <c r="G842" t="s">
        <v>139</v>
      </c>
      <c r="H842" t="s">
        <v>3764</v>
      </c>
    </row>
    <row r="843" spans="1:8" x14ac:dyDescent="0.35">
      <c r="A843" t="s">
        <v>3765</v>
      </c>
      <c r="B843" t="str">
        <f>"9781623492250"</f>
        <v>9781623492250</v>
      </c>
      <c r="C843" t="s">
        <v>3766</v>
      </c>
      <c r="D843" t="s">
        <v>3767</v>
      </c>
      <c r="E843" t="s">
        <v>2225</v>
      </c>
      <c r="F843" t="s">
        <v>3768</v>
      </c>
      <c r="G843" t="s">
        <v>44</v>
      </c>
      <c r="H843" t="s">
        <v>3769</v>
      </c>
    </row>
    <row r="844" spans="1:8" x14ac:dyDescent="0.35">
      <c r="A844" t="s">
        <v>3770</v>
      </c>
      <c r="B844" t="str">
        <f>"9780826355249"</f>
        <v>9780826355249</v>
      </c>
      <c r="C844" t="s">
        <v>3771</v>
      </c>
      <c r="D844" t="s">
        <v>3772</v>
      </c>
      <c r="E844" t="s">
        <v>2439</v>
      </c>
      <c r="F844" t="s">
        <v>3773</v>
      </c>
      <c r="G844" t="s">
        <v>83</v>
      </c>
      <c r="H844" t="s">
        <v>3774</v>
      </c>
    </row>
    <row r="845" spans="1:8" x14ac:dyDescent="0.35">
      <c r="A845" t="s">
        <v>3775</v>
      </c>
      <c r="B845" t="str">
        <f>"9780826355324"</f>
        <v>9780826355324</v>
      </c>
      <c r="C845" t="s">
        <v>3776</v>
      </c>
      <c r="D845" t="s">
        <v>3777</v>
      </c>
      <c r="E845" t="s">
        <v>2439</v>
      </c>
      <c r="G845" t="s">
        <v>186</v>
      </c>
      <c r="H845" t="s">
        <v>3778</v>
      </c>
    </row>
    <row r="846" spans="1:8" x14ac:dyDescent="0.35">
      <c r="A846" t="s">
        <v>3779</v>
      </c>
      <c r="B846" t="str">
        <f>"9781611485769"</f>
        <v>9781611485769</v>
      </c>
      <c r="C846" t="s">
        <v>3780</v>
      </c>
      <c r="D846" t="s">
        <v>3781</v>
      </c>
      <c r="E846" t="s">
        <v>1328</v>
      </c>
      <c r="G846" t="s">
        <v>60</v>
      </c>
      <c r="H846" t="s">
        <v>3782</v>
      </c>
    </row>
    <row r="847" spans="1:8" x14ac:dyDescent="0.35">
      <c r="A847" t="s">
        <v>3783</v>
      </c>
      <c r="B847" t="str">
        <f>"9780813048765"</f>
        <v>9780813048765</v>
      </c>
      <c r="C847" t="s">
        <v>3784</v>
      </c>
      <c r="D847" t="s">
        <v>3785</v>
      </c>
      <c r="E847" t="s">
        <v>1788</v>
      </c>
      <c r="G847" t="s">
        <v>44</v>
      </c>
      <c r="H847" t="s">
        <v>3786</v>
      </c>
    </row>
    <row r="848" spans="1:8" x14ac:dyDescent="0.35">
      <c r="A848" t="s">
        <v>3787</v>
      </c>
      <c r="B848" t="str">
        <f>"9780826355867"</f>
        <v>9780826355867</v>
      </c>
      <c r="C848" t="s">
        <v>3788</v>
      </c>
      <c r="D848" t="s">
        <v>3789</v>
      </c>
      <c r="E848" t="s">
        <v>2439</v>
      </c>
      <c r="G848" t="s">
        <v>39</v>
      </c>
      <c r="H848" t="s">
        <v>3790</v>
      </c>
    </row>
    <row r="849" spans="1:8" x14ac:dyDescent="0.35">
      <c r="A849" t="s">
        <v>3791</v>
      </c>
      <c r="B849" t="str">
        <f>"9780819575036"</f>
        <v>9780819575036</v>
      </c>
      <c r="C849" t="s">
        <v>3792</v>
      </c>
      <c r="D849" t="s">
        <v>3793</v>
      </c>
      <c r="E849" t="s">
        <v>1369</v>
      </c>
      <c r="F849" t="s">
        <v>3794</v>
      </c>
      <c r="G849" t="s">
        <v>139</v>
      </c>
      <c r="H849" t="s">
        <v>3795</v>
      </c>
    </row>
    <row r="850" spans="1:8" x14ac:dyDescent="0.35">
      <c r="A850" t="s">
        <v>3796</v>
      </c>
      <c r="B850" t="str">
        <f>"9780739188651"</f>
        <v>9780739188651</v>
      </c>
      <c r="C850" t="s">
        <v>3797</v>
      </c>
      <c r="D850" t="s">
        <v>3798</v>
      </c>
      <c r="E850" t="s">
        <v>518</v>
      </c>
      <c r="G850" t="s">
        <v>39</v>
      </c>
      <c r="H850" t="s">
        <v>3799</v>
      </c>
    </row>
    <row r="851" spans="1:8" x14ac:dyDescent="0.35">
      <c r="A851" t="s">
        <v>3800</v>
      </c>
      <c r="B851" t="str">
        <f>"9780739191071"</f>
        <v>9780739191071</v>
      </c>
      <c r="C851" t="s">
        <v>3801</v>
      </c>
      <c r="D851" t="s">
        <v>3802</v>
      </c>
      <c r="E851" t="s">
        <v>518</v>
      </c>
      <c r="G851" t="s">
        <v>39</v>
      </c>
      <c r="H851" t="s">
        <v>3803</v>
      </c>
    </row>
    <row r="852" spans="1:8" x14ac:dyDescent="0.35">
      <c r="A852" t="s">
        <v>3804</v>
      </c>
      <c r="B852" t="str">
        <f>"9781442235694"</f>
        <v>9781442235694</v>
      </c>
      <c r="C852" t="s">
        <v>3805</v>
      </c>
      <c r="D852" t="s">
        <v>3806</v>
      </c>
      <c r="E852" t="s">
        <v>524</v>
      </c>
      <c r="F852" t="s">
        <v>3373</v>
      </c>
      <c r="G852" t="s">
        <v>39</v>
      </c>
      <c r="H852" t="s">
        <v>1546</v>
      </c>
    </row>
    <row r="853" spans="1:8" x14ac:dyDescent="0.35">
      <c r="A853" t="s">
        <v>3807</v>
      </c>
      <c r="B853" t="str">
        <f>"9781611476705"</f>
        <v>9781611476705</v>
      </c>
      <c r="C853" t="s">
        <v>3808</v>
      </c>
      <c r="D853" t="s">
        <v>3809</v>
      </c>
      <c r="E853" t="s">
        <v>1606</v>
      </c>
      <c r="G853" t="s">
        <v>39</v>
      </c>
      <c r="H853" t="s">
        <v>3810</v>
      </c>
    </row>
    <row r="854" spans="1:8" x14ac:dyDescent="0.35">
      <c r="A854" t="s">
        <v>3811</v>
      </c>
      <c r="B854" t="str">
        <f>"9781611486216"</f>
        <v>9781611486216</v>
      </c>
      <c r="C854" t="s">
        <v>3812</v>
      </c>
      <c r="D854" t="s">
        <v>3813</v>
      </c>
      <c r="E854" t="s">
        <v>1328</v>
      </c>
      <c r="F854" t="s">
        <v>3236</v>
      </c>
      <c r="G854" t="s">
        <v>60</v>
      </c>
      <c r="H854" t="s">
        <v>3814</v>
      </c>
    </row>
    <row r="855" spans="1:8" x14ac:dyDescent="0.35">
      <c r="A855" t="s">
        <v>3815</v>
      </c>
      <c r="B855" t="str">
        <f>"9789004271074"</f>
        <v>9789004271074</v>
      </c>
      <c r="C855" t="s">
        <v>3816</v>
      </c>
      <c r="D855" t="s">
        <v>3817</v>
      </c>
      <c r="E855" t="s">
        <v>540</v>
      </c>
      <c r="F855" t="s">
        <v>1356</v>
      </c>
      <c r="G855" t="s">
        <v>17</v>
      </c>
      <c r="H855" t="s">
        <v>3818</v>
      </c>
    </row>
    <row r="856" spans="1:8" x14ac:dyDescent="0.35">
      <c r="A856" t="s">
        <v>3819</v>
      </c>
      <c r="B856" t="str">
        <f>"9780520961449"</f>
        <v>9780520961449</v>
      </c>
      <c r="C856" t="s">
        <v>3820</v>
      </c>
      <c r="D856" t="s">
        <v>3821</v>
      </c>
      <c r="E856" t="s">
        <v>69</v>
      </c>
      <c r="G856" t="s">
        <v>305</v>
      </c>
      <c r="H856" t="s">
        <v>3822</v>
      </c>
    </row>
    <row r="857" spans="1:8" x14ac:dyDescent="0.35">
      <c r="A857" t="s">
        <v>3823</v>
      </c>
      <c r="B857" t="str">
        <f>"9780520961364"</f>
        <v>9780520961364</v>
      </c>
      <c r="C857" t="s">
        <v>3824</v>
      </c>
      <c r="D857" t="s">
        <v>3825</v>
      </c>
      <c r="E857" t="s">
        <v>69</v>
      </c>
      <c r="G857" t="s">
        <v>55</v>
      </c>
      <c r="H857" t="s">
        <v>3826</v>
      </c>
    </row>
    <row r="858" spans="1:8" x14ac:dyDescent="0.35">
      <c r="A858" t="s">
        <v>3827</v>
      </c>
      <c r="B858" t="str">
        <f>"9780520959187"</f>
        <v>9780520959187</v>
      </c>
      <c r="C858" t="s">
        <v>3828</v>
      </c>
      <c r="D858" t="s">
        <v>3829</v>
      </c>
      <c r="E858" t="s">
        <v>69</v>
      </c>
      <c r="G858" t="s">
        <v>44</v>
      </c>
      <c r="H858" t="s">
        <v>3830</v>
      </c>
    </row>
    <row r="859" spans="1:8" x14ac:dyDescent="0.35">
      <c r="A859" t="s">
        <v>3831</v>
      </c>
      <c r="B859" t="str">
        <f>"9780520958890"</f>
        <v>9780520958890</v>
      </c>
      <c r="C859" t="s">
        <v>3832</v>
      </c>
      <c r="D859" t="s">
        <v>3833</v>
      </c>
      <c r="E859" t="s">
        <v>69</v>
      </c>
      <c r="G859" t="s">
        <v>305</v>
      </c>
      <c r="H859" t="s">
        <v>3834</v>
      </c>
    </row>
    <row r="860" spans="1:8" x14ac:dyDescent="0.35">
      <c r="A860" t="s">
        <v>3835</v>
      </c>
      <c r="B860" t="str">
        <f>"9781464803918"</f>
        <v>9781464803918</v>
      </c>
      <c r="C860" t="s">
        <v>3836</v>
      </c>
      <c r="D860" t="s">
        <v>3837</v>
      </c>
      <c r="E860" t="s">
        <v>481</v>
      </c>
      <c r="F860" t="s">
        <v>624</v>
      </c>
      <c r="G860" t="s">
        <v>17</v>
      </c>
      <c r="H860" t="s">
        <v>3838</v>
      </c>
    </row>
    <row r="861" spans="1:8" x14ac:dyDescent="0.35">
      <c r="A861" t="s">
        <v>3839</v>
      </c>
      <c r="B861" t="str">
        <f>"9780708324752"</f>
        <v>9780708324752</v>
      </c>
      <c r="C861" t="s">
        <v>3840</v>
      </c>
      <c r="D861" t="s">
        <v>3841</v>
      </c>
      <c r="E861" t="s">
        <v>710</v>
      </c>
      <c r="F861" t="s">
        <v>711</v>
      </c>
      <c r="G861" t="s">
        <v>3520</v>
      </c>
      <c r="H861" t="s">
        <v>3842</v>
      </c>
    </row>
    <row r="862" spans="1:8" x14ac:dyDescent="0.35">
      <c r="A862" t="s">
        <v>3843</v>
      </c>
      <c r="B862" t="str">
        <f>"9780708325384"</f>
        <v>9780708325384</v>
      </c>
      <c r="C862" t="s">
        <v>3844</v>
      </c>
      <c r="D862" t="s">
        <v>3845</v>
      </c>
      <c r="E862" t="s">
        <v>710</v>
      </c>
      <c r="F862" t="s">
        <v>711</v>
      </c>
      <c r="G862" t="s">
        <v>60</v>
      </c>
      <c r="H862" t="s">
        <v>3846</v>
      </c>
    </row>
    <row r="863" spans="1:8" x14ac:dyDescent="0.35">
      <c r="A863" t="s">
        <v>3847</v>
      </c>
      <c r="B863" t="str">
        <f>"9780708325544"</f>
        <v>9780708325544</v>
      </c>
      <c r="C863" t="s">
        <v>3848</v>
      </c>
      <c r="D863" t="s">
        <v>3849</v>
      </c>
      <c r="E863" t="s">
        <v>710</v>
      </c>
      <c r="F863" t="s">
        <v>711</v>
      </c>
      <c r="G863" t="s">
        <v>96</v>
      </c>
      <c r="H863" t="s">
        <v>3850</v>
      </c>
    </row>
    <row r="864" spans="1:8" x14ac:dyDescent="0.35">
      <c r="A864" t="s">
        <v>3851</v>
      </c>
      <c r="B864" t="str">
        <f>"9781783160747"</f>
        <v>9781783160747</v>
      </c>
      <c r="C864" t="s">
        <v>3852</v>
      </c>
      <c r="D864" t="s">
        <v>3853</v>
      </c>
      <c r="E864" t="s">
        <v>710</v>
      </c>
      <c r="F864" t="s">
        <v>711</v>
      </c>
      <c r="G864" t="s">
        <v>139</v>
      </c>
      <c r="H864" t="s">
        <v>3854</v>
      </c>
    </row>
    <row r="865" spans="1:8" x14ac:dyDescent="0.35">
      <c r="A865" t="s">
        <v>3855</v>
      </c>
      <c r="B865" t="str">
        <f>"9781611495386"</f>
        <v>9781611495386</v>
      </c>
      <c r="C865" t="s">
        <v>3856</v>
      </c>
      <c r="D865" t="s">
        <v>3857</v>
      </c>
      <c r="E865" t="s">
        <v>3858</v>
      </c>
      <c r="G865" t="s">
        <v>83</v>
      </c>
      <c r="H865" t="s">
        <v>3859</v>
      </c>
    </row>
    <row r="866" spans="1:8" x14ac:dyDescent="0.35">
      <c r="A866" t="s">
        <v>3860</v>
      </c>
      <c r="B866" t="str">
        <f>"9780739192719"</f>
        <v>9780739192719</v>
      </c>
      <c r="C866" t="s">
        <v>3861</v>
      </c>
      <c r="D866" t="s">
        <v>3862</v>
      </c>
      <c r="E866" t="s">
        <v>518</v>
      </c>
      <c r="G866" t="s">
        <v>60</v>
      </c>
      <c r="H866" t="s">
        <v>3863</v>
      </c>
    </row>
    <row r="867" spans="1:8" x14ac:dyDescent="0.35">
      <c r="A867" t="s">
        <v>3864</v>
      </c>
      <c r="B867" t="str">
        <f>"9780739195987"</f>
        <v>9780739195987</v>
      </c>
      <c r="C867" t="s">
        <v>3865</v>
      </c>
      <c r="D867" t="s">
        <v>3866</v>
      </c>
      <c r="E867" t="s">
        <v>518</v>
      </c>
      <c r="F867" t="s">
        <v>3867</v>
      </c>
      <c r="G867" t="s">
        <v>39</v>
      </c>
      <c r="H867" t="s">
        <v>3868</v>
      </c>
    </row>
    <row r="868" spans="1:8" x14ac:dyDescent="0.35">
      <c r="A868" t="s">
        <v>3869</v>
      </c>
      <c r="B868" t="str">
        <f>"9781611486384"</f>
        <v>9781611486384</v>
      </c>
      <c r="C868" t="s">
        <v>3870</v>
      </c>
      <c r="D868" t="s">
        <v>3871</v>
      </c>
      <c r="E868" t="s">
        <v>1328</v>
      </c>
      <c r="F868" t="s">
        <v>3236</v>
      </c>
      <c r="G868" t="s">
        <v>60</v>
      </c>
      <c r="H868" t="s">
        <v>3872</v>
      </c>
    </row>
    <row r="869" spans="1:8" x14ac:dyDescent="0.35">
      <c r="A869" t="s">
        <v>3873</v>
      </c>
      <c r="B869" t="str">
        <f>"9781452942445"</f>
        <v>9781452942445</v>
      </c>
      <c r="C869" t="s">
        <v>3874</v>
      </c>
      <c r="D869" t="s">
        <v>3875</v>
      </c>
      <c r="E869" t="s">
        <v>273</v>
      </c>
      <c r="F869" t="s">
        <v>3876</v>
      </c>
      <c r="G869" t="s">
        <v>2855</v>
      </c>
      <c r="H869" t="s">
        <v>3877</v>
      </c>
    </row>
    <row r="870" spans="1:8" x14ac:dyDescent="0.35">
      <c r="A870" t="s">
        <v>3878</v>
      </c>
      <c r="B870" t="str">
        <f>"9781464801525"</f>
        <v>9781464801525</v>
      </c>
      <c r="C870" t="s">
        <v>3879</v>
      </c>
      <c r="D870" t="s">
        <v>3880</v>
      </c>
      <c r="E870" t="s">
        <v>481</v>
      </c>
      <c r="F870" t="s">
        <v>496</v>
      </c>
      <c r="G870" t="s">
        <v>112</v>
      </c>
      <c r="H870" t="s">
        <v>3881</v>
      </c>
    </row>
    <row r="871" spans="1:8" x14ac:dyDescent="0.35">
      <c r="A871" t="s">
        <v>3882</v>
      </c>
      <c r="B871" t="str">
        <f>"9780804793209"</f>
        <v>9780804793209</v>
      </c>
      <c r="C871" t="s">
        <v>3883</v>
      </c>
      <c r="D871" t="s">
        <v>3884</v>
      </c>
      <c r="E871" t="s">
        <v>680</v>
      </c>
      <c r="G871" t="s">
        <v>55</v>
      </c>
      <c r="H871" t="s">
        <v>3885</v>
      </c>
    </row>
    <row r="872" spans="1:8" x14ac:dyDescent="0.35">
      <c r="A872" t="s">
        <v>3886</v>
      </c>
      <c r="B872" t="str">
        <f>"9780813048833"</f>
        <v>9780813048833</v>
      </c>
      <c r="C872" t="s">
        <v>3887</v>
      </c>
      <c r="D872" t="s">
        <v>3888</v>
      </c>
      <c r="E872" t="s">
        <v>1788</v>
      </c>
      <c r="F872" t="s">
        <v>3889</v>
      </c>
      <c r="G872" t="s">
        <v>44</v>
      </c>
      <c r="H872" t="s">
        <v>3890</v>
      </c>
    </row>
    <row r="873" spans="1:8" x14ac:dyDescent="0.35">
      <c r="A873" t="s">
        <v>3891</v>
      </c>
      <c r="B873" t="str">
        <f>"9789004284685"</f>
        <v>9789004284685</v>
      </c>
      <c r="C873" t="s">
        <v>3892</v>
      </c>
      <c r="D873" t="s">
        <v>3893</v>
      </c>
      <c r="E873" t="s">
        <v>540</v>
      </c>
      <c r="F873" t="s">
        <v>1356</v>
      </c>
      <c r="G873" t="s">
        <v>3288</v>
      </c>
      <c r="H873" t="s">
        <v>3894</v>
      </c>
    </row>
    <row r="874" spans="1:8" x14ac:dyDescent="0.35">
      <c r="A874" t="s">
        <v>3895</v>
      </c>
      <c r="B874" t="str">
        <f>"9780804794398"</f>
        <v>9780804794398</v>
      </c>
      <c r="C874" t="s">
        <v>3896</v>
      </c>
      <c r="D874" t="s">
        <v>3897</v>
      </c>
      <c r="E874" t="s">
        <v>680</v>
      </c>
      <c r="F874" t="s">
        <v>3898</v>
      </c>
      <c r="G874" t="s">
        <v>83</v>
      </c>
      <c r="H874" t="s">
        <v>3899</v>
      </c>
    </row>
    <row r="875" spans="1:8" x14ac:dyDescent="0.35">
      <c r="A875" t="s">
        <v>3900</v>
      </c>
      <c r="B875" t="str">
        <f>"9780804794497"</f>
        <v>9780804794497</v>
      </c>
      <c r="C875" t="s">
        <v>3901</v>
      </c>
      <c r="D875" t="s">
        <v>3902</v>
      </c>
      <c r="E875" t="s">
        <v>680</v>
      </c>
      <c r="F875" t="s">
        <v>3903</v>
      </c>
      <c r="G875" t="s">
        <v>39</v>
      </c>
      <c r="H875" t="s">
        <v>3904</v>
      </c>
    </row>
    <row r="876" spans="1:8" x14ac:dyDescent="0.35">
      <c r="A876" t="s">
        <v>3905</v>
      </c>
      <c r="B876" t="str">
        <f>"9780826520340"</f>
        <v>9780826520340</v>
      </c>
      <c r="C876" t="s">
        <v>3906</v>
      </c>
      <c r="D876" t="s">
        <v>3907</v>
      </c>
      <c r="E876" t="s">
        <v>3908</v>
      </c>
      <c r="G876" t="s">
        <v>376</v>
      </c>
      <c r="H876" t="s">
        <v>3909</v>
      </c>
    </row>
    <row r="877" spans="1:8" x14ac:dyDescent="0.35">
      <c r="A877" t="s">
        <v>3910</v>
      </c>
      <c r="B877" t="str">
        <f>"9781498504140"</f>
        <v>9781498504140</v>
      </c>
      <c r="C877" t="s">
        <v>3911</v>
      </c>
      <c r="D877" t="s">
        <v>3912</v>
      </c>
      <c r="E877" t="s">
        <v>518</v>
      </c>
      <c r="G877" t="s">
        <v>22</v>
      </c>
      <c r="H877" t="s">
        <v>3913</v>
      </c>
    </row>
    <row r="878" spans="1:8" x14ac:dyDescent="0.35">
      <c r="A878" t="s">
        <v>3914</v>
      </c>
      <c r="B878" t="str">
        <f>"9780190211134"</f>
        <v>9780190211134</v>
      </c>
      <c r="C878" t="s">
        <v>3915</v>
      </c>
      <c r="D878" t="s">
        <v>3916</v>
      </c>
      <c r="E878" t="s">
        <v>355</v>
      </c>
      <c r="G878" t="s">
        <v>726</v>
      </c>
      <c r="H878" t="s">
        <v>3917</v>
      </c>
    </row>
    <row r="879" spans="1:8" x14ac:dyDescent="0.35">
      <c r="A879" t="s">
        <v>3918</v>
      </c>
      <c r="B879" t="str">
        <f>"9780231537728"</f>
        <v>9780231537728</v>
      </c>
      <c r="C879" t="s">
        <v>3919</v>
      </c>
      <c r="D879" t="s">
        <v>3920</v>
      </c>
      <c r="E879" t="s">
        <v>1755</v>
      </c>
      <c r="G879" t="s">
        <v>83</v>
      </c>
      <c r="H879" t="s">
        <v>3921</v>
      </c>
    </row>
    <row r="880" spans="1:8" x14ac:dyDescent="0.35">
      <c r="A880" t="s">
        <v>3922</v>
      </c>
      <c r="B880" t="str">
        <f>"9780804795210"</f>
        <v>9780804795210</v>
      </c>
      <c r="C880" t="s">
        <v>3923</v>
      </c>
      <c r="D880" t="s">
        <v>3924</v>
      </c>
      <c r="E880" t="s">
        <v>680</v>
      </c>
      <c r="G880" t="s">
        <v>334</v>
      </c>
      <c r="H880" t="s">
        <v>3925</v>
      </c>
    </row>
    <row r="881" spans="1:8" x14ac:dyDescent="0.35">
      <c r="A881" t="s">
        <v>3926</v>
      </c>
      <c r="B881" t="str">
        <f>"9789004284555"</f>
        <v>9789004284555</v>
      </c>
      <c r="C881" t="s">
        <v>3927</v>
      </c>
      <c r="D881" t="s">
        <v>3928</v>
      </c>
      <c r="E881" t="s">
        <v>540</v>
      </c>
      <c r="F881" t="s">
        <v>2803</v>
      </c>
      <c r="G881" t="s">
        <v>186</v>
      </c>
      <c r="H881" t="s">
        <v>3929</v>
      </c>
    </row>
    <row r="882" spans="1:8" x14ac:dyDescent="0.35">
      <c r="A882" t="s">
        <v>3930</v>
      </c>
      <c r="B882" t="str">
        <f>"9781409416463"</f>
        <v>9781409416463</v>
      </c>
      <c r="C882" t="s">
        <v>3931</v>
      </c>
      <c r="D882" t="s">
        <v>3932</v>
      </c>
      <c r="E882" t="s">
        <v>3933</v>
      </c>
      <c r="F882" t="s">
        <v>3934</v>
      </c>
      <c r="G882" t="s">
        <v>44</v>
      </c>
      <c r="H882" t="s">
        <v>3935</v>
      </c>
    </row>
    <row r="883" spans="1:8" x14ac:dyDescent="0.35">
      <c r="A883" t="s">
        <v>3936</v>
      </c>
      <c r="B883" t="str">
        <f>"9780199965755"</f>
        <v>9780199965755</v>
      </c>
      <c r="C883" t="s">
        <v>3937</v>
      </c>
      <c r="D883" t="s">
        <v>3938</v>
      </c>
      <c r="E883" t="s">
        <v>355</v>
      </c>
      <c r="G883" t="s">
        <v>3939</v>
      </c>
      <c r="H883" t="s">
        <v>3940</v>
      </c>
    </row>
    <row r="884" spans="1:8" x14ac:dyDescent="0.35">
      <c r="A884" t="s">
        <v>3941</v>
      </c>
      <c r="B884" t="str">
        <f>"9780190243432"</f>
        <v>9780190243432</v>
      </c>
      <c r="C884" t="s">
        <v>3942</v>
      </c>
      <c r="D884" t="s">
        <v>3943</v>
      </c>
      <c r="E884" t="s">
        <v>355</v>
      </c>
      <c r="G884" t="s">
        <v>1125</v>
      </c>
      <c r="H884" t="s">
        <v>3944</v>
      </c>
    </row>
    <row r="885" spans="1:8" x14ac:dyDescent="0.35">
      <c r="A885" t="s">
        <v>3945</v>
      </c>
      <c r="B885" t="str">
        <f>"9780803274372"</f>
        <v>9780803274372</v>
      </c>
      <c r="C885" t="s">
        <v>3946</v>
      </c>
      <c r="D885" t="s">
        <v>3947</v>
      </c>
      <c r="E885" t="s">
        <v>1191</v>
      </c>
      <c r="F885" t="s">
        <v>576</v>
      </c>
      <c r="G885" t="s">
        <v>254</v>
      </c>
      <c r="H885" t="s">
        <v>3948</v>
      </c>
    </row>
    <row r="886" spans="1:8" x14ac:dyDescent="0.35">
      <c r="A886" t="s">
        <v>3949</v>
      </c>
      <c r="B886" t="str">
        <f>"9780830868681"</f>
        <v>9780830868681</v>
      </c>
      <c r="C886" t="s">
        <v>3950</v>
      </c>
      <c r="D886" t="s">
        <v>3951</v>
      </c>
      <c r="E886" t="s">
        <v>3952</v>
      </c>
      <c r="G886" t="s">
        <v>186</v>
      </c>
      <c r="H886" t="s">
        <v>3953</v>
      </c>
    </row>
    <row r="887" spans="1:8" x14ac:dyDescent="0.35">
      <c r="A887" t="s">
        <v>3954</v>
      </c>
      <c r="B887" t="str">
        <f>"9780520962583"</f>
        <v>9780520962583</v>
      </c>
      <c r="C887" t="s">
        <v>3955</v>
      </c>
      <c r="D887" t="s">
        <v>3956</v>
      </c>
      <c r="E887" t="s">
        <v>69</v>
      </c>
      <c r="F887" t="s">
        <v>3957</v>
      </c>
      <c r="G887" t="s">
        <v>3958</v>
      </c>
      <c r="H887" t="s">
        <v>3959</v>
      </c>
    </row>
    <row r="888" spans="1:8" x14ac:dyDescent="0.35">
      <c r="A888" t="s">
        <v>3960</v>
      </c>
      <c r="B888" t="str">
        <f>"9780803276642"</f>
        <v>9780803276642</v>
      </c>
      <c r="C888" t="s">
        <v>3961</v>
      </c>
      <c r="D888" t="s">
        <v>3962</v>
      </c>
      <c r="E888" t="s">
        <v>1191</v>
      </c>
      <c r="F888" t="s">
        <v>576</v>
      </c>
      <c r="G888" t="s">
        <v>419</v>
      </c>
      <c r="H888" t="s">
        <v>3963</v>
      </c>
    </row>
    <row r="889" spans="1:8" x14ac:dyDescent="0.35">
      <c r="A889" t="s">
        <v>3964</v>
      </c>
      <c r="B889" t="str">
        <f>"9780826337467"</f>
        <v>9780826337467</v>
      </c>
      <c r="C889" t="s">
        <v>3965</v>
      </c>
      <c r="D889" t="s">
        <v>3966</v>
      </c>
      <c r="E889" t="s">
        <v>2439</v>
      </c>
      <c r="G889" t="s">
        <v>2494</v>
      </c>
      <c r="H889" t="s">
        <v>3967</v>
      </c>
    </row>
    <row r="890" spans="1:8" x14ac:dyDescent="0.35">
      <c r="A890" t="s">
        <v>3968</v>
      </c>
      <c r="B890" t="str">
        <f>"9780826337443"</f>
        <v>9780826337443</v>
      </c>
      <c r="C890" t="s">
        <v>3969</v>
      </c>
      <c r="D890" t="s">
        <v>3970</v>
      </c>
      <c r="E890" t="s">
        <v>2439</v>
      </c>
      <c r="G890" t="s">
        <v>139</v>
      </c>
      <c r="H890" t="s">
        <v>3971</v>
      </c>
    </row>
    <row r="891" spans="1:8" x14ac:dyDescent="0.35">
      <c r="A891" t="s">
        <v>3972</v>
      </c>
      <c r="B891" t="str">
        <f>"9780253014962"</f>
        <v>9780253014962</v>
      </c>
      <c r="C891" t="s">
        <v>3973</v>
      </c>
      <c r="D891" t="s">
        <v>3974</v>
      </c>
      <c r="E891" t="s">
        <v>151</v>
      </c>
      <c r="F891" t="s">
        <v>3975</v>
      </c>
      <c r="G891" t="s">
        <v>55</v>
      </c>
      <c r="H891" t="s">
        <v>3976</v>
      </c>
    </row>
    <row r="892" spans="1:8" x14ac:dyDescent="0.35">
      <c r="A892" t="s">
        <v>3977</v>
      </c>
      <c r="B892" t="str">
        <f>"9780822971160"</f>
        <v>9780822971160</v>
      </c>
      <c r="C892" t="s">
        <v>3978</v>
      </c>
      <c r="D892" t="s">
        <v>3979</v>
      </c>
      <c r="E892" t="s">
        <v>3980</v>
      </c>
      <c r="F892" t="s">
        <v>3981</v>
      </c>
      <c r="G892" t="s">
        <v>44</v>
      </c>
      <c r="H892" t="s">
        <v>3982</v>
      </c>
    </row>
    <row r="893" spans="1:8" x14ac:dyDescent="0.35">
      <c r="A893" t="s">
        <v>3983</v>
      </c>
      <c r="B893" t="str">
        <f>"9780822971092"</f>
        <v>9780822971092</v>
      </c>
      <c r="C893" t="s">
        <v>3984</v>
      </c>
      <c r="D893" t="s">
        <v>3985</v>
      </c>
      <c r="E893" t="s">
        <v>3980</v>
      </c>
      <c r="F893" t="s">
        <v>3981</v>
      </c>
      <c r="G893" t="s">
        <v>44</v>
      </c>
      <c r="H893" t="s">
        <v>3986</v>
      </c>
    </row>
    <row r="894" spans="1:8" x14ac:dyDescent="0.35">
      <c r="A894" t="s">
        <v>3987</v>
      </c>
      <c r="B894" t="str">
        <f>"9780822972549"</f>
        <v>9780822972549</v>
      </c>
      <c r="C894" t="s">
        <v>3988</v>
      </c>
      <c r="D894" t="s">
        <v>3989</v>
      </c>
      <c r="E894" t="s">
        <v>3980</v>
      </c>
      <c r="F894" t="s">
        <v>3981</v>
      </c>
      <c r="G894" t="s">
        <v>55</v>
      </c>
      <c r="H894" t="s">
        <v>3990</v>
      </c>
    </row>
    <row r="895" spans="1:8" x14ac:dyDescent="0.35">
      <c r="A895" t="s">
        <v>3991</v>
      </c>
      <c r="B895" t="str">
        <f>"9780822973539"</f>
        <v>9780822973539</v>
      </c>
      <c r="C895" t="s">
        <v>3992</v>
      </c>
      <c r="D895" t="s">
        <v>3993</v>
      </c>
      <c r="E895" t="s">
        <v>3980</v>
      </c>
      <c r="F895" t="s">
        <v>3994</v>
      </c>
      <c r="G895" t="s">
        <v>305</v>
      </c>
      <c r="H895" t="s">
        <v>3995</v>
      </c>
    </row>
    <row r="896" spans="1:8" x14ac:dyDescent="0.35">
      <c r="A896" t="s">
        <v>3996</v>
      </c>
      <c r="B896" t="str">
        <f>"9780822973461"</f>
        <v>9780822973461</v>
      </c>
      <c r="C896" t="s">
        <v>3997</v>
      </c>
      <c r="D896" t="s">
        <v>3998</v>
      </c>
      <c r="E896" t="s">
        <v>3980</v>
      </c>
      <c r="F896" t="s">
        <v>3994</v>
      </c>
      <c r="G896" t="s">
        <v>60</v>
      </c>
      <c r="H896" t="s">
        <v>3999</v>
      </c>
    </row>
    <row r="897" spans="1:8" x14ac:dyDescent="0.35">
      <c r="A897" t="s">
        <v>4000</v>
      </c>
      <c r="B897" t="str">
        <f>"9780822973256"</f>
        <v>9780822973256</v>
      </c>
      <c r="C897" t="s">
        <v>4001</v>
      </c>
      <c r="D897" t="s">
        <v>4002</v>
      </c>
      <c r="E897" t="s">
        <v>3980</v>
      </c>
      <c r="F897" t="s">
        <v>3981</v>
      </c>
      <c r="G897" t="s">
        <v>83</v>
      </c>
      <c r="H897" t="s">
        <v>4003</v>
      </c>
    </row>
    <row r="898" spans="1:8" x14ac:dyDescent="0.35">
      <c r="A898" t="s">
        <v>4004</v>
      </c>
      <c r="B898" t="str">
        <f>"9780822973041"</f>
        <v>9780822973041</v>
      </c>
      <c r="C898" t="s">
        <v>4005</v>
      </c>
      <c r="D898" t="s">
        <v>4006</v>
      </c>
      <c r="E898" t="s">
        <v>3980</v>
      </c>
      <c r="F898" t="s">
        <v>3981</v>
      </c>
      <c r="G898" t="s">
        <v>2730</v>
      </c>
      <c r="H898" t="s">
        <v>4007</v>
      </c>
    </row>
    <row r="899" spans="1:8" x14ac:dyDescent="0.35">
      <c r="A899" t="s">
        <v>4008</v>
      </c>
      <c r="B899" t="str">
        <f>"9780822973195"</f>
        <v>9780822973195</v>
      </c>
      <c r="C899" t="s">
        <v>4009</v>
      </c>
      <c r="D899" t="s">
        <v>4010</v>
      </c>
      <c r="E899" t="s">
        <v>3980</v>
      </c>
      <c r="F899" t="s">
        <v>3994</v>
      </c>
      <c r="G899" t="s">
        <v>60</v>
      </c>
      <c r="H899" t="s">
        <v>4011</v>
      </c>
    </row>
    <row r="900" spans="1:8" x14ac:dyDescent="0.35">
      <c r="A900" t="s">
        <v>4012</v>
      </c>
      <c r="B900" t="str">
        <f>"9780822972839"</f>
        <v>9780822972839</v>
      </c>
      <c r="C900" t="s">
        <v>4013</v>
      </c>
      <c r="D900" t="s">
        <v>4014</v>
      </c>
      <c r="E900" t="s">
        <v>3980</v>
      </c>
      <c r="F900" t="s">
        <v>3981</v>
      </c>
      <c r="G900" t="s">
        <v>3080</v>
      </c>
      <c r="H900" t="s">
        <v>4015</v>
      </c>
    </row>
    <row r="901" spans="1:8" x14ac:dyDescent="0.35">
      <c r="A901" t="s">
        <v>4016</v>
      </c>
      <c r="B901" t="str">
        <f>"9780822973454"</f>
        <v>9780822973454</v>
      </c>
      <c r="C901" t="s">
        <v>4017</v>
      </c>
      <c r="D901" t="s">
        <v>4018</v>
      </c>
      <c r="E901" t="s">
        <v>3980</v>
      </c>
      <c r="F901" t="s">
        <v>3981</v>
      </c>
      <c r="G901" t="s">
        <v>96</v>
      </c>
      <c r="H901" t="s">
        <v>4019</v>
      </c>
    </row>
    <row r="902" spans="1:8" x14ac:dyDescent="0.35">
      <c r="A902" t="s">
        <v>4020</v>
      </c>
      <c r="B902" t="str">
        <f>"9780822973560"</f>
        <v>9780822973560</v>
      </c>
      <c r="C902" t="s">
        <v>4021</v>
      </c>
      <c r="D902" t="s">
        <v>4022</v>
      </c>
      <c r="E902" t="s">
        <v>3980</v>
      </c>
      <c r="F902" t="s">
        <v>3994</v>
      </c>
      <c r="G902" t="s">
        <v>44</v>
      </c>
      <c r="H902" t="s">
        <v>4023</v>
      </c>
    </row>
    <row r="903" spans="1:8" x14ac:dyDescent="0.35">
      <c r="A903" t="s">
        <v>4024</v>
      </c>
      <c r="B903" t="str">
        <f>"9780822972976"</f>
        <v>9780822972976</v>
      </c>
      <c r="C903" t="s">
        <v>4025</v>
      </c>
      <c r="D903" t="s">
        <v>4026</v>
      </c>
      <c r="E903" t="s">
        <v>3980</v>
      </c>
      <c r="F903" t="s">
        <v>3994</v>
      </c>
      <c r="G903" t="s">
        <v>60</v>
      </c>
      <c r="H903" t="s">
        <v>4027</v>
      </c>
    </row>
    <row r="904" spans="1:8" x14ac:dyDescent="0.35">
      <c r="A904" t="s">
        <v>4028</v>
      </c>
      <c r="B904" t="str">
        <f>"9780822972716"</f>
        <v>9780822972716</v>
      </c>
      <c r="C904" t="s">
        <v>4029</v>
      </c>
      <c r="D904" t="s">
        <v>4030</v>
      </c>
      <c r="E904" t="s">
        <v>3980</v>
      </c>
      <c r="F904" t="s">
        <v>3981</v>
      </c>
      <c r="G904" t="s">
        <v>157</v>
      </c>
      <c r="H904" t="s">
        <v>4031</v>
      </c>
    </row>
    <row r="905" spans="1:8" x14ac:dyDescent="0.35">
      <c r="A905" t="s">
        <v>4032</v>
      </c>
      <c r="B905" t="str">
        <f>"9780822973423"</f>
        <v>9780822973423</v>
      </c>
      <c r="C905" t="s">
        <v>4033</v>
      </c>
      <c r="D905" t="s">
        <v>4034</v>
      </c>
      <c r="E905" t="s">
        <v>3980</v>
      </c>
      <c r="F905" t="s">
        <v>3981</v>
      </c>
      <c r="G905" t="s">
        <v>44</v>
      </c>
      <c r="H905" t="s">
        <v>4035</v>
      </c>
    </row>
    <row r="906" spans="1:8" x14ac:dyDescent="0.35">
      <c r="A906" t="s">
        <v>4036</v>
      </c>
      <c r="B906" t="str">
        <f>"9780822973485"</f>
        <v>9780822973485</v>
      </c>
      <c r="C906" t="s">
        <v>4037</v>
      </c>
      <c r="D906" t="s">
        <v>4038</v>
      </c>
      <c r="E906" t="s">
        <v>3980</v>
      </c>
      <c r="F906" t="s">
        <v>3981</v>
      </c>
      <c r="G906" t="s">
        <v>55</v>
      </c>
      <c r="H906" t="s">
        <v>4039</v>
      </c>
    </row>
    <row r="907" spans="1:8" x14ac:dyDescent="0.35">
      <c r="A907" t="s">
        <v>4040</v>
      </c>
      <c r="B907" t="str">
        <f>"9780822977438"</f>
        <v>9780822977438</v>
      </c>
      <c r="C907" t="s">
        <v>4041</v>
      </c>
      <c r="D907" t="s">
        <v>4042</v>
      </c>
      <c r="E907" t="s">
        <v>3980</v>
      </c>
      <c r="F907" t="s">
        <v>3981</v>
      </c>
      <c r="G907" t="s">
        <v>44</v>
      </c>
      <c r="H907" t="s">
        <v>4043</v>
      </c>
    </row>
    <row r="908" spans="1:8" x14ac:dyDescent="0.35">
      <c r="A908" t="s">
        <v>4044</v>
      </c>
      <c r="B908" t="str">
        <f>"9780822977636"</f>
        <v>9780822977636</v>
      </c>
      <c r="C908" t="s">
        <v>4045</v>
      </c>
      <c r="D908" t="s">
        <v>4046</v>
      </c>
      <c r="E908" t="s">
        <v>3980</v>
      </c>
      <c r="F908" t="s">
        <v>3981</v>
      </c>
      <c r="G908" t="s">
        <v>39</v>
      </c>
      <c r="H908" t="s">
        <v>4047</v>
      </c>
    </row>
    <row r="909" spans="1:8" x14ac:dyDescent="0.35">
      <c r="A909" t="s">
        <v>4048</v>
      </c>
      <c r="B909" t="str">
        <f>"9780822977384"</f>
        <v>9780822977384</v>
      </c>
      <c r="C909" t="s">
        <v>4049</v>
      </c>
      <c r="D909" t="s">
        <v>4050</v>
      </c>
      <c r="E909" t="s">
        <v>3980</v>
      </c>
      <c r="F909" t="s">
        <v>3981</v>
      </c>
      <c r="G909" t="s">
        <v>44</v>
      </c>
      <c r="H909" t="s">
        <v>4051</v>
      </c>
    </row>
    <row r="910" spans="1:8" x14ac:dyDescent="0.35">
      <c r="A910" t="s">
        <v>4052</v>
      </c>
      <c r="B910" t="str">
        <f>"9780822973737"</f>
        <v>9780822973737</v>
      </c>
      <c r="C910" t="s">
        <v>4053</v>
      </c>
      <c r="D910" t="s">
        <v>4054</v>
      </c>
      <c r="E910" t="s">
        <v>3980</v>
      </c>
      <c r="F910" t="s">
        <v>3981</v>
      </c>
      <c r="G910" t="s">
        <v>305</v>
      </c>
      <c r="H910" t="s">
        <v>4055</v>
      </c>
    </row>
    <row r="911" spans="1:8" x14ac:dyDescent="0.35">
      <c r="A911" t="s">
        <v>4056</v>
      </c>
      <c r="B911" t="str">
        <f>"9780822973874"</f>
        <v>9780822973874</v>
      </c>
      <c r="C911" t="s">
        <v>4057</v>
      </c>
      <c r="D911" t="s">
        <v>4058</v>
      </c>
      <c r="E911" t="s">
        <v>3980</v>
      </c>
      <c r="F911" t="s">
        <v>3981</v>
      </c>
      <c r="G911" t="s">
        <v>4059</v>
      </c>
      <c r="H911" t="s">
        <v>4060</v>
      </c>
    </row>
    <row r="912" spans="1:8" x14ac:dyDescent="0.35">
      <c r="A912" t="s">
        <v>4061</v>
      </c>
      <c r="B912" t="str">
        <f>"9780822973805"</f>
        <v>9780822973805</v>
      </c>
      <c r="C912" t="s">
        <v>4062</v>
      </c>
      <c r="D912" t="s">
        <v>4063</v>
      </c>
      <c r="E912" t="s">
        <v>3980</v>
      </c>
      <c r="F912" t="s">
        <v>3981</v>
      </c>
      <c r="G912" t="s">
        <v>2654</v>
      </c>
      <c r="H912" t="s">
        <v>947</v>
      </c>
    </row>
    <row r="913" spans="1:8" x14ac:dyDescent="0.35">
      <c r="A913" t="s">
        <v>4064</v>
      </c>
      <c r="B913" t="str">
        <f>"9780822977650"</f>
        <v>9780822977650</v>
      </c>
      <c r="C913" t="s">
        <v>4065</v>
      </c>
      <c r="D913" t="s">
        <v>4066</v>
      </c>
      <c r="E913" t="s">
        <v>3980</v>
      </c>
      <c r="F913" t="s">
        <v>3994</v>
      </c>
      <c r="G913" t="s">
        <v>44</v>
      </c>
      <c r="H913" t="s">
        <v>4067</v>
      </c>
    </row>
    <row r="914" spans="1:8" x14ac:dyDescent="0.35">
      <c r="A914" t="s">
        <v>4068</v>
      </c>
      <c r="B914" t="str">
        <f>"9780822973614"</f>
        <v>9780822973614</v>
      </c>
      <c r="C914" t="s">
        <v>4069</v>
      </c>
      <c r="D914" t="s">
        <v>4070</v>
      </c>
      <c r="E914" t="s">
        <v>3980</v>
      </c>
      <c r="F914" t="s">
        <v>3981</v>
      </c>
      <c r="G914" t="s">
        <v>39</v>
      </c>
      <c r="H914" t="s">
        <v>4071</v>
      </c>
    </row>
    <row r="915" spans="1:8" x14ac:dyDescent="0.35">
      <c r="A915" t="s">
        <v>4072</v>
      </c>
      <c r="B915" t="str">
        <f>"9780822973713"</f>
        <v>9780822973713</v>
      </c>
      <c r="C915" t="s">
        <v>4073</v>
      </c>
      <c r="D915" t="s">
        <v>4074</v>
      </c>
      <c r="E915" t="s">
        <v>3980</v>
      </c>
      <c r="F915" t="s">
        <v>3981</v>
      </c>
      <c r="G915" t="s">
        <v>726</v>
      </c>
      <c r="H915" t="s">
        <v>4075</v>
      </c>
    </row>
    <row r="916" spans="1:8" x14ac:dyDescent="0.35">
      <c r="A916" t="s">
        <v>4076</v>
      </c>
      <c r="B916" t="str">
        <f>"9780822977704"</f>
        <v>9780822977704</v>
      </c>
      <c r="C916" t="s">
        <v>4077</v>
      </c>
      <c r="D916" t="s">
        <v>4078</v>
      </c>
      <c r="E916" t="s">
        <v>3980</v>
      </c>
      <c r="F916" t="s">
        <v>3981</v>
      </c>
      <c r="G916" t="s">
        <v>55</v>
      </c>
      <c r="H916" t="s">
        <v>4079</v>
      </c>
    </row>
    <row r="917" spans="1:8" x14ac:dyDescent="0.35">
      <c r="A917" t="s">
        <v>4080</v>
      </c>
      <c r="B917" t="str">
        <f>"9780822973690"</f>
        <v>9780822973690</v>
      </c>
      <c r="C917" t="s">
        <v>4081</v>
      </c>
      <c r="D917" t="s">
        <v>4082</v>
      </c>
      <c r="E917" t="s">
        <v>3980</v>
      </c>
      <c r="F917" t="s">
        <v>3981</v>
      </c>
      <c r="G917" t="s">
        <v>4083</v>
      </c>
      <c r="H917" t="s">
        <v>4084</v>
      </c>
    </row>
    <row r="918" spans="1:8" x14ac:dyDescent="0.35">
      <c r="A918" t="s">
        <v>4085</v>
      </c>
      <c r="B918" t="str">
        <f>"9780822973744"</f>
        <v>9780822973744</v>
      </c>
      <c r="C918" t="s">
        <v>4086</v>
      </c>
      <c r="D918" t="s">
        <v>4087</v>
      </c>
      <c r="E918" t="s">
        <v>3980</v>
      </c>
      <c r="F918" t="s">
        <v>3994</v>
      </c>
      <c r="G918" t="s">
        <v>44</v>
      </c>
      <c r="H918" t="s">
        <v>4088</v>
      </c>
    </row>
    <row r="919" spans="1:8" x14ac:dyDescent="0.35">
      <c r="A919" t="s">
        <v>4089</v>
      </c>
      <c r="B919" t="str">
        <f>"9780822973638"</f>
        <v>9780822973638</v>
      </c>
      <c r="C919" t="s">
        <v>4090</v>
      </c>
      <c r="D919" t="s">
        <v>4091</v>
      </c>
      <c r="E919" t="s">
        <v>3980</v>
      </c>
      <c r="F919" t="s">
        <v>3981</v>
      </c>
      <c r="G919" t="s">
        <v>39</v>
      </c>
      <c r="H919" t="s">
        <v>4092</v>
      </c>
    </row>
    <row r="920" spans="1:8" x14ac:dyDescent="0.35">
      <c r="A920" t="s">
        <v>4093</v>
      </c>
      <c r="B920" t="str">
        <f>"9780822977964"</f>
        <v>9780822977964</v>
      </c>
      <c r="C920" t="s">
        <v>4094</v>
      </c>
      <c r="D920" t="s">
        <v>4095</v>
      </c>
      <c r="E920" t="s">
        <v>3980</v>
      </c>
      <c r="F920" t="s">
        <v>3981</v>
      </c>
      <c r="G920" t="s">
        <v>55</v>
      </c>
      <c r="H920" t="s">
        <v>4096</v>
      </c>
    </row>
    <row r="921" spans="1:8" x14ac:dyDescent="0.35">
      <c r="A921" t="s">
        <v>4097</v>
      </c>
      <c r="B921" t="str">
        <f>"9780822978053"</f>
        <v>9780822978053</v>
      </c>
      <c r="C921" t="s">
        <v>4098</v>
      </c>
      <c r="D921" t="s">
        <v>4099</v>
      </c>
      <c r="E921" t="s">
        <v>3980</v>
      </c>
      <c r="F921" t="s">
        <v>3981</v>
      </c>
      <c r="G921" t="s">
        <v>39</v>
      </c>
      <c r="H921" t="s">
        <v>4100</v>
      </c>
    </row>
    <row r="922" spans="1:8" x14ac:dyDescent="0.35">
      <c r="A922" t="s">
        <v>4101</v>
      </c>
      <c r="B922" t="str">
        <f>"9780822977957"</f>
        <v>9780822977957</v>
      </c>
      <c r="C922" t="s">
        <v>4102</v>
      </c>
      <c r="D922" t="s">
        <v>4103</v>
      </c>
      <c r="E922" t="s">
        <v>3980</v>
      </c>
      <c r="F922" t="s">
        <v>3981</v>
      </c>
      <c r="G922" t="s">
        <v>39</v>
      </c>
      <c r="H922" t="s">
        <v>4104</v>
      </c>
    </row>
    <row r="923" spans="1:8" x14ac:dyDescent="0.35">
      <c r="A923" t="s">
        <v>4105</v>
      </c>
      <c r="B923" t="str">
        <f>"9780822978671"</f>
        <v>9780822978671</v>
      </c>
      <c r="C923" t="s">
        <v>4106</v>
      </c>
      <c r="D923" t="s">
        <v>4107</v>
      </c>
      <c r="E923" t="s">
        <v>3980</v>
      </c>
      <c r="F923" t="s">
        <v>3981</v>
      </c>
      <c r="G923" t="s">
        <v>96</v>
      </c>
      <c r="H923" t="s">
        <v>4108</v>
      </c>
    </row>
    <row r="924" spans="1:8" x14ac:dyDescent="0.35">
      <c r="A924" t="s">
        <v>4109</v>
      </c>
      <c r="B924" t="str">
        <f>"9780822977988"</f>
        <v>9780822977988</v>
      </c>
      <c r="C924" t="s">
        <v>4110</v>
      </c>
      <c r="D924" t="s">
        <v>4111</v>
      </c>
      <c r="E924" t="s">
        <v>3980</v>
      </c>
      <c r="F924" t="s">
        <v>3981</v>
      </c>
      <c r="G924" t="s">
        <v>376</v>
      </c>
      <c r="H924" t="s">
        <v>4112</v>
      </c>
    </row>
    <row r="925" spans="1:8" x14ac:dyDescent="0.35">
      <c r="A925" t="s">
        <v>4113</v>
      </c>
      <c r="B925" t="str">
        <f>"9780822978541"</f>
        <v>9780822978541</v>
      </c>
      <c r="C925" t="s">
        <v>4114</v>
      </c>
      <c r="D925" t="s">
        <v>4115</v>
      </c>
      <c r="E925" t="s">
        <v>3980</v>
      </c>
      <c r="F925" t="s">
        <v>3994</v>
      </c>
      <c r="G925" t="s">
        <v>376</v>
      </c>
      <c r="H925" t="s">
        <v>4116</v>
      </c>
    </row>
    <row r="926" spans="1:8" x14ac:dyDescent="0.35">
      <c r="A926" t="s">
        <v>4117</v>
      </c>
      <c r="B926" t="str">
        <f>"9780822977971"</f>
        <v>9780822977971</v>
      </c>
      <c r="C926" t="s">
        <v>4118</v>
      </c>
      <c r="D926" t="s">
        <v>4119</v>
      </c>
      <c r="E926" t="s">
        <v>3980</v>
      </c>
      <c r="F926" t="s">
        <v>3994</v>
      </c>
      <c r="G926" t="s">
        <v>139</v>
      </c>
      <c r="H926" t="s">
        <v>4120</v>
      </c>
    </row>
    <row r="927" spans="1:8" x14ac:dyDescent="0.35">
      <c r="A927" t="s">
        <v>4121</v>
      </c>
      <c r="B927" t="str">
        <f>"9780803284166"</f>
        <v>9780803284166</v>
      </c>
      <c r="C927" t="s">
        <v>4122</v>
      </c>
      <c r="D927" t="s">
        <v>4123</v>
      </c>
      <c r="E927" t="s">
        <v>1191</v>
      </c>
      <c r="F927" t="s">
        <v>576</v>
      </c>
      <c r="G927" t="s">
        <v>254</v>
      </c>
      <c r="H927" t="s">
        <v>4124</v>
      </c>
    </row>
    <row r="928" spans="1:8" x14ac:dyDescent="0.35">
      <c r="A928" t="s">
        <v>4125</v>
      </c>
      <c r="B928" t="str">
        <f>"9781498506601"</f>
        <v>9781498506601</v>
      </c>
      <c r="C928" t="s">
        <v>4126</v>
      </c>
      <c r="D928" t="s">
        <v>4127</v>
      </c>
      <c r="E928" t="s">
        <v>518</v>
      </c>
      <c r="G928" t="s">
        <v>4128</v>
      </c>
      <c r="H928" t="s">
        <v>4129</v>
      </c>
    </row>
    <row r="929" spans="1:8" x14ac:dyDescent="0.35">
      <c r="A929" t="s">
        <v>4130</v>
      </c>
      <c r="B929" t="str">
        <f>"9780826520463"</f>
        <v>9780826520463</v>
      </c>
      <c r="C929" t="s">
        <v>4131</v>
      </c>
      <c r="D929" t="s">
        <v>4132</v>
      </c>
      <c r="E929" t="s">
        <v>3908</v>
      </c>
      <c r="G929" t="s">
        <v>44</v>
      </c>
      <c r="H929" t="s">
        <v>4133</v>
      </c>
    </row>
    <row r="930" spans="1:8" x14ac:dyDescent="0.35">
      <c r="A930" t="s">
        <v>4134</v>
      </c>
      <c r="B930" t="str">
        <f>"9780813055275"</f>
        <v>9780813055275</v>
      </c>
      <c r="C930" t="s">
        <v>4135</v>
      </c>
      <c r="D930" t="s">
        <v>4136</v>
      </c>
      <c r="E930" t="s">
        <v>1788</v>
      </c>
      <c r="G930" t="s">
        <v>186</v>
      </c>
      <c r="H930" t="s">
        <v>4137</v>
      </c>
    </row>
    <row r="931" spans="1:8" x14ac:dyDescent="0.35">
      <c r="A931" t="s">
        <v>4138</v>
      </c>
      <c r="B931" t="str">
        <f>"9781783600946"</f>
        <v>9781783600946</v>
      </c>
      <c r="C931" t="s">
        <v>4139</v>
      </c>
      <c r="D931" t="s">
        <v>4140</v>
      </c>
      <c r="E931" t="s">
        <v>694</v>
      </c>
      <c r="G931" t="s">
        <v>4141</v>
      </c>
      <c r="H931" t="s">
        <v>4142</v>
      </c>
    </row>
    <row r="932" spans="1:8" x14ac:dyDescent="0.35">
      <c r="A932" t="s">
        <v>4143</v>
      </c>
      <c r="B932" t="str">
        <f>"9781443875103"</f>
        <v>9781443875103</v>
      </c>
      <c r="C932" t="s">
        <v>4144</v>
      </c>
      <c r="D932" t="s">
        <v>3862</v>
      </c>
      <c r="E932" t="s">
        <v>2326</v>
      </c>
      <c r="G932" t="s">
        <v>60</v>
      </c>
      <c r="H932" t="s">
        <v>4145</v>
      </c>
    </row>
    <row r="933" spans="1:8" x14ac:dyDescent="0.35">
      <c r="A933" t="s">
        <v>4146</v>
      </c>
      <c r="B933" t="str">
        <f>"9781443874120"</f>
        <v>9781443874120</v>
      </c>
      <c r="C933" t="s">
        <v>4147</v>
      </c>
      <c r="D933" t="s">
        <v>4148</v>
      </c>
      <c r="E933" t="s">
        <v>2326</v>
      </c>
      <c r="G933" t="s">
        <v>2133</v>
      </c>
      <c r="H933" t="s">
        <v>4149</v>
      </c>
    </row>
    <row r="934" spans="1:8" x14ac:dyDescent="0.35">
      <c r="A934" t="s">
        <v>4150</v>
      </c>
      <c r="B934" t="str">
        <f>"9780814788530"</f>
        <v>9780814788530</v>
      </c>
      <c r="C934" t="s">
        <v>4151</v>
      </c>
      <c r="D934" t="s">
        <v>4152</v>
      </c>
      <c r="E934" t="s">
        <v>1620</v>
      </c>
      <c r="G934" t="s">
        <v>83</v>
      </c>
      <c r="H934" t="s">
        <v>4153</v>
      </c>
    </row>
    <row r="935" spans="1:8" x14ac:dyDescent="0.35">
      <c r="A935" t="s">
        <v>4154</v>
      </c>
      <c r="B935" t="str">
        <f>"9780814790076"</f>
        <v>9780814790076</v>
      </c>
      <c r="C935" t="s">
        <v>4155</v>
      </c>
      <c r="D935" t="s">
        <v>4156</v>
      </c>
      <c r="E935" t="s">
        <v>1620</v>
      </c>
      <c r="F935" t="s">
        <v>4157</v>
      </c>
      <c r="G935" t="s">
        <v>55</v>
      </c>
      <c r="H935" t="s">
        <v>4158</v>
      </c>
    </row>
    <row r="936" spans="1:8" x14ac:dyDescent="0.35">
      <c r="A936" t="s">
        <v>4159</v>
      </c>
      <c r="B936" t="str">
        <f>"9781464804557"</f>
        <v>9781464804557</v>
      </c>
      <c r="C936" t="s">
        <v>4160</v>
      </c>
      <c r="D936" t="s">
        <v>4161</v>
      </c>
      <c r="E936" t="s">
        <v>481</v>
      </c>
      <c r="F936" t="s">
        <v>4162</v>
      </c>
      <c r="G936" t="s">
        <v>191</v>
      </c>
      <c r="H936" t="s">
        <v>4163</v>
      </c>
    </row>
    <row r="937" spans="1:8" x14ac:dyDescent="0.35">
      <c r="A937" t="s">
        <v>4164</v>
      </c>
      <c r="B937" t="str">
        <f>"9781464805950"</f>
        <v>9781464805950</v>
      </c>
      <c r="C937" t="s">
        <v>4165</v>
      </c>
      <c r="D937" t="s">
        <v>4166</v>
      </c>
      <c r="E937" t="s">
        <v>481</v>
      </c>
      <c r="F937" t="s">
        <v>4162</v>
      </c>
      <c r="G937" t="s">
        <v>4167</v>
      </c>
      <c r="H937" t="s">
        <v>4168</v>
      </c>
    </row>
    <row r="938" spans="1:8" x14ac:dyDescent="0.35">
      <c r="A938" t="s">
        <v>4169</v>
      </c>
      <c r="B938" t="str">
        <f>"9781783603046"</f>
        <v>9781783603046</v>
      </c>
      <c r="C938" t="s">
        <v>4170</v>
      </c>
      <c r="D938" t="s">
        <v>4171</v>
      </c>
      <c r="E938" t="s">
        <v>694</v>
      </c>
      <c r="G938" t="s">
        <v>334</v>
      </c>
      <c r="H938" t="s">
        <v>4172</v>
      </c>
    </row>
    <row r="939" spans="1:8" x14ac:dyDescent="0.35">
      <c r="A939" t="s">
        <v>4173</v>
      </c>
      <c r="B939" t="str">
        <f>"9780739190463"</f>
        <v>9780739190463</v>
      </c>
      <c r="C939" t="s">
        <v>4174</v>
      </c>
      <c r="D939" t="s">
        <v>4175</v>
      </c>
      <c r="E939" t="s">
        <v>518</v>
      </c>
      <c r="G939" t="s">
        <v>1116</v>
      </c>
      <c r="H939" t="s">
        <v>4176</v>
      </c>
    </row>
    <row r="940" spans="1:8" x14ac:dyDescent="0.35">
      <c r="A940" t="s">
        <v>4177</v>
      </c>
      <c r="B940" t="str">
        <f>"9780739198209"</f>
        <v>9780739198209</v>
      </c>
      <c r="C940" t="s">
        <v>4178</v>
      </c>
      <c r="D940" t="s">
        <v>4179</v>
      </c>
      <c r="E940" t="s">
        <v>518</v>
      </c>
      <c r="G940" t="s">
        <v>139</v>
      </c>
      <c r="H940" t="s">
        <v>4180</v>
      </c>
    </row>
    <row r="941" spans="1:8" x14ac:dyDescent="0.35">
      <c r="A941" t="s">
        <v>4181</v>
      </c>
      <c r="B941" t="str">
        <f>"9780826520616"</f>
        <v>9780826520616</v>
      </c>
      <c r="C941" t="s">
        <v>4182</v>
      </c>
      <c r="D941" t="s">
        <v>4183</v>
      </c>
      <c r="E941" t="s">
        <v>3908</v>
      </c>
      <c r="G941" t="s">
        <v>44</v>
      </c>
      <c r="H941" t="s">
        <v>4184</v>
      </c>
    </row>
    <row r="942" spans="1:8" x14ac:dyDescent="0.35">
      <c r="A942" t="s">
        <v>4185</v>
      </c>
      <c r="B942" t="str">
        <f>"9781464803581"</f>
        <v>9781464803581</v>
      </c>
      <c r="C942" t="s">
        <v>4186</v>
      </c>
      <c r="D942" t="s">
        <v>4187</v>
      </c>
      <c r="E942" t="s">
        <v>481</v>
      </c>
      <c r="G942" t="s">
        <v>376</v>
      </c>
      <c r="H942" t="s">
        <v>4188</v>
      </c>
    </row>
    <row r="943" spans="1:8" x14ac:dyDescent="0.35">
      <c r="A943" t="s">
        <v>4189</v>
      </c>
      <c r="B943" t="str">
        <f>"9781780234038"</f>
        <v>9781780234038</v>
      </c>
      <c r="C943" t="s">
        <v>4190</v>
      </c>
      <c r="D943" t="s">
        <v>4191</v>
      </c>
      <c r="E943" t="s">
        <v>960</v>
      </c>
      <c r="G943" t="s">
        <v>139</v>
      </c>
      <c r="H943" t="s">
        <v>4192</v>
      </c>
    </row>
    <row r="944" spans="1:8" x14ac:dyDescent="0.35">
      <c r="A944" t="s">
        <v>4193</v>
      </c>
      <c r="B944" t="str">
        <f>"9780813055459"</f>
        <v>9780813055459</v>
      </c>
      <c r="C944" t="s">
        <v>4194</v>
      </c>
      <c r="D944" t="s">
        <v>4195</v>
      </c>
      <c r="E944" t="s">
        <v>1788</v>
      </c>
      <c r="G944" t="s">
        <v>44</v>
      </c>
      <c r="H944" t="s">
        <v>4196</v>
      </c>
    </row>
    <row r="945" spans="1:8" x14ac:dyDescent="0.35">
      <c r="A945" t="s">
        <v>4197</v>
      </c>
      <c r="B945" t="str">
        <f>"9780813055527"</f>
        <v>9780813055527</v>
      </c>
      <c r="C945" t="s">
        <v>4198</v>
      </c>
      <c r="D945" t="s">
        <v>4199</v>
      </c>
      <c r="E945" t="s">
        <v>1788</v>
      </c>
      <c r="G945" t="s">
        <v>163</v>
      </c>
      <c r="H945" t="s">
        <v>4200</v>
      </c>
    </row>
    <row r="946" spans="1:8" x14ac:dyDescent="0.35">
      <c r="A946" t="s">
        <v>4201</v>
      </c>
      <c r="B946" t="str">
        <f>"9781619022621"</f>
        <v>9781619022621</v>
      </c>
      <c r="C946" t="s">
        <v>4202</v>
      </c>
      <c r="D946" t="s">
        <v>4203</v>
      </c>
      <c r="E946" t="s">
        <v>4204</v>
      </c>
      <c r="G946" t="s">
        <v>2494</v>
      </c>
      <c r="H946" t="s">
        <v>4205</v>
      </c>
    </row>
    <row r="947" spans="1:8" x14ac:dyDescent="0.35">
      <c r="A947" t="s">
        <v>4206</v>
      </c>
      <c r="B947" t="str">
        <f>"9780813055473"</f>
        <v>9780813055473</v>
      </c>
      <c r="C947" t="s">
        <v>4207</v>
      </c>
      <c r="D947" t="s">
        <v>4208</v>
      </c>
      <c r="E947" t="s">
        <v>1788</v>
      </c>
      <c r="F947" t="s">
        <v>2837</v>
      </c>
      <c r="G947" t="s">
        <v>191</v>
      </c>
      <c r="H947" t="s">
        <v>4209</v>
      </c>
    </row>
    <row r="948" spans="1:8" x14ac:dyDescent="0.35">
      <c r="A948" t="s">
        <v>4210</v>
      </c>
      <c r="B948" t="str">
        <f>"9781474241632"</f>
        <v>9781474241632</v>
      </c>
      <c r="C948" t="s">
        <v>4211</v>
      </c>
      <c r="D948" t="s">
        <v>4212</v>
      </c>
      <c r="E948" t="s">
        <v>3604</v>
      </c>
      <c r="F948" t="s">
        <v>4213</v>
      </c>
      <c r="G948" t="s">
        <v>17</v>
      </c>
      <c r="H948" t="s">
        <v>4214</v>
      </c>
    </row>
    <row r="949" spans="1:8" x14ac:dyDescent="0.35">
      <c r="A949" t="s">
        <v>4215</v>
      </c>
      <c r="B949" t="str">
        <f>"9780838998335"</f>
        <v>9780838998335</v>
      </c>
      <c r="C949" t="s">
        <v>4216</v>
      </c>
      <c r="D949" t="s">
        <v>4217</v>
      </c>
      <c r="E949" t="s">
        <v>4218</v>
      </c>
      <c r="G949" t="s">
        <v>2846</v>
      </c>
      <c r="H949" t="s">
        <v>4219</v>
      </c>
    </row>
    <row r="950" spans="1:8" x14ac:dyDescent="0.35">
      <c r="A950" t="s">
        <v>4220</v>
      </c>
      <c r="B950" t="str">
        <f>"9780815797913"</f>
        <v>9780815797913</v>
      </c>
      <c r="C950" t="s">
        <v>4221</v>
      </c>
      <c r="D950" t="s">
        <v>4222</v>
      </c>
      <c r="E950" t="s">
        <v>156</v>
      </c>
      <c r="G950" t="s">
        <v>376</v>
      </c>
      <c r="H950" t="s">
        <v>4223</v>
      </c>
    </row>
    <row r="951" spans="1:8" x14ac:dyDescent="0.35">
      <c r="A951" t="s">
        <v>4224</v>
      </c>
      <c r="B951" t="str">
        <f>"9781593322274"</f>
        <v>9781593322274</v>
      </c>
      <c r="C951" t="s">
        <v>4225</v>
      </c>
      <c r="D951" t="s">
        <v>4226</v>
      </c>
      <c r="E951" t="s">
        <v>2238</v>
      </c>
      <c r="G951" t="s">
        <v>376</v>
      </c>
      <c r="H951" t="s">
        <v>4227</v>
      </c>
    </row>
    <row r="952" spans="1:8" x14ac:dyDescent="0.35">
      <c r="A952" t="s">
        <v>4228</v>
      </c>
      <c r="B952" t="str">
        <f>"9781593322236"</f>
        <v>9781593322236</v>
      </c>
      <c r="C952" t="s">
        <v>4229</v>
      </c>
      <c r="D952" t="s">
        <v>4230</v>
      </c>
      <c r="E952" t="s">
        <v>2238</v>
      </c>
      <c r="G952" t="s">
        <v>39</v>
      </c>
      <c r="H952" t="s">
        <v>4231</v>
      </c>
    </row>
    <row r="953" spans="1:8" x14ac:dyDescent="0.35">
      <c r="A953" t="s">
        <v>4232</v>
      </c>
      <c r="B953" t="str">
        <f>"9781593322250"</f>
        <v>9781593322250</v>
      </c>
      <c r="C953" t="s">
        <v>4233</v>
      </c>
      <c r="D953" t="s">
        <v>4234</v>
      </c>
      <c r="E953" t="s">
        <v>2238</v>
      </c>
      <c r="G953" t="s">
        <v>191</v>
      </c>
      <c r="H953" t="s">
        <v>4235</v>
      </c>
    </row>
    <row r="954" spans="1:8" x14ac:dyDescent="0.35">
      <c r="A954" t="s">
        <v>4236</v>
      </c>
      <c r="B954" t="str">
        <f>"9781593322281"</f>
        <v>9781593322281</v>
      </c>
      <c r="C954" t="s">
        <v>4237</v>
      </c>
      <c r="D954" t="s">
        <v>4238</v>
      </c>
      <c r="E954" t="s">
        <v>2238</v>
      </c>
      <c r="G954" t="s">
        <v>334</v>
      </c>
      <c r="H954" t="s">
        <v>4239</v>
      </c>
    </row>
    <row r="955" spans="1:8" x14ac:dyDescent="0.35">
      <c r="A955" t="s">
        <v>4240</v>
      </c>
      <c r="B955" t="str">
        <f>"9781593322458"</f>
        <v>9781593322458</v>
      </c>
      <c r="C955" t="s">
        <v>4241</v>
      </c>
      <c r="D955" t="s">
        <v>4242</v>
      </c>
      <c r="E955" t="s">
        <v>2238</v>
      </c>
      <c r="G955" t="s">
        <v>376</v>
      </c>
      <c r="H955" t="s">
        <v>4243</v>
      </c>
    </row>
    <row r="956" spans="1:8" x14ac:dyDescent="0.35">
      <c r="A956" t="s">
        <v>4244</v>
      </c>
      <c r="B956" t="str">
        <f>"9781593323127"</f>
        <v>9781593323127</v>
      </c>
      <c r="C956" t="s">
        <v>4245</v>
      </c>
      <c r="D956" t="s">
        <v>4246</v>
      </c>
      <c r="E956" t="s">
        <v>2238</v>
      </c>
      <c r="G956" t="s">
        <v>726</v>
      </c>
      <c r="H956" t="s">
        <v>4247</v>
      </c>
    </row>
    <row r="957" spans="1:8" x14ac:dyDescent="0.35">
      <c r="A957" t="s">
        <v>4248</v>
      </c>
      <c r="B957" t="str">
        <f>"9781593323486"</f>
        <v>9781593323486</v>
      </c>
      <c r="C957" t="s">
        <v>4249</v>
      </c>
      <c r="D957" t="s">
        <v>4250</v>
      </c>
      <c r="E957" t="s">
        <v>2238</v>
      </c>
      <c r="G957" t="s">
        <v>112</v>
      </c>
      <c r="H957" t="s">
        <v>4251</v>
      </c>
    </row>
    <row r="958" spans="1:8" x14ac:dyDescent="0.35">
      <c r="A958" t="s">
        <v>4252</v>
      </c>
      <c r="B958" t="str">
        <f>"9781613242537"</f>
        <v>9781613242537</v>
      </c>
      <c r="C958" t="s">
        <v>4253</v>
      </c>
      <c r="D958" t="s">
        <v>4254</v>
      </c>
      <c r="E958" t="s">
        <v>4255</v>
      </c>
      <c r="F958" t="s">
        <v>4256</v>
      </c>
      <c r="G958" t="s">
        <v>305</v>
      </c>
      <c r="H958" t="s">
        <v>4257</v>
      </c>
    </row>
    <row r="959" spans="1:8" x14ac:dyDescent="0.35">
      <c r="A959" t="s">
        <v>4258</v>
      </c>
      <c r="B959" t="str">
        <f>"9781608766390"</f>
        <v>9781608766390</v>
      </c>
      <c r="C959" t="s">
        <v>4259</v>
      </c>
      <c r="D959" t="s">
        <v>4260</v>
      </c>
      <c r="E959" t="s">
        <v>4255</v>
      </c>
      <c r="G959" t="s">
        <v>39</v>
      </c>
      <c r="H959" t="s">
        <v>4261</v>
      </c>
    </row>
    <row r="960" spans="1:8" x14ac:dyDescent="0.35">
      <c r="A960" t="s">
        <v>4262</v>
      </c>
      <c r="B960" t="str">
        <f>"9781611226027"</f>
        <v>9781611226027</v>
      </c>
      <c r="C960" t="s">
        <v>4263</v>
      </c>
      <c r="D960" t="s">
        <v>4264</v>
      </c>
      <c r="E960" t="s">
        <v>4255</v>
      </c>
      <c r="F960" t="s">
        <v>4265</v>
      </c>
      <c r="G960" t="s">
        <v>4266</v>
      </c>
      <c r="H960" t="s">
        <v>4267</v>
      </c>
    </row>
    <row r="961" spans="1:8" x14ac:dyDescent="0.35">
      <c r="A961" t="s">
        <v>4268</v>
      </c>
      <c r="B961" t="str">
        <f>"9781612094533"</f>
        <v>9781612094533</v>
      </c>
      <c r="C961" t="s">
        <v>4269</v>
      </c>
      <c r="D961" t="s">
        <v>4270</v>
      </c>
      <c r="E961" t="s">
        <v>4255</v>
      </c>
      <c r="F961" t="s">
        <v>4271</v>
      </c>
      <c r="G961" t="s">
        <v>28</v>
      </c>
      <c r="H961" t="s">
        <v>4272</v>
      </c>
    </row>
    <row r="962" spans="1:8" x14ac:dyDescent="0.35">
      <c r="A962" t="s">
        <v>4273</v>
      </c>
      <c r="B962" t="str">
        <f>"9781614701880"</f>
        <v>9781614701880</v>
      </c>
      <c r="C962" t="s">
        <v>4274</v>
      </c>
      <c r="D962" t="s">
        <v>4275</v>
      </c>
      <c r="E962" t="s">
        <v>4255</v>
      </c>
      <c r="G962" t="s">
        <v>376</v>
      </c>
      <c r="H962" t="s">
        <v>4276</v>
      </c>
    </row>
    <row r="963" spans="1:8" x14ac:dyDescent="0.35">
      <c r="A963" t="s">
        <v>4277</v>
      </c>
      <c r="B963" t="str">
        <f>"9781613240397"</f>
        <v>9781613240397</v>
      </c>
      <c r="C963" t="s">
        <v>4278</v>
      </c>
      <c r="D963" t="s">
        <v>4279</v>
      </c>
      <c r="E963" t="s">
        <v>4255</v>
      </c>
      <c r="F963" t="s">
        <v>4280</v>
      </c>
      <c r="G963" t="s">
        <v>1047</v>
      </c>
      <c r="H963" t="s">
        <v>4281</v>
      </c>
    </row>
    <row r="964" spans="1:8" x14ac:dyDescent="0.35">
      <c r="A964" t="s">
        <v>4282</v>
      </c>
      <c r="B964" t="str">
        <f>"9781614702443"</f>
        <v>9781614702443</v>
      </c>
      <c r="C964" t="s">
        <v>4283</v>
      </c>
      <c r="D964" t="s">
        <v>4284</v>
      </c>
      <c r="E964" t="s">
        <v>4255</v>
      </c>
      <c r="G964" t="s">
        <v>376</v>
      </c>
      <c r="H964" t="s">
        <v>4285</v>
      </c>
    </row>
    <row r="965" spans="1:8" x14ac:dyDescent="0.35">
      <c r="A965" t="s">
        <v>4286</v>
      </c>
      <c r="B965" t="str">
        <f>"9781616688325"</f>
        <v>9781616688325</v>
      </c>
      <c r="C965" t="s">
        <v>4287</v>
      </c>
      <c r="D965" t="s">
        <v>4288</v>
      </c>
      <c r="E965" t="s">
        <v>4255</v>
      </c>
      <c r="F965" t="s">
        <v>4289</v>
      </c>
      <c r="G965" t="s">
        <v>146</v>
      </c>
      <c r="H965" t="s">
        <v>4290</v>
      </c>
    </row>
    <row r="966" spans="1:8" x14ac:dyDescent="0.35">
      <c r="A966" t="s">
        <v>4291</v>
      </c>
      <c r="B966" t="str">
        <f>"9781617283581"</f>
        <v>9781617283581</v>
      </c>
      <c r="C966" t="s">
        <v>4292</v>
      </c>
      <c r="D966" t="s">
        <v>4293</v>
      </c>
      <c r="E966" t="s">
        <v>4255</v>
      </c>
      <c r="G966" t="s">
        <v>305</v>
      </c>
      <c r="H966" t="s">
        <v>4294</v>
      </c>
    </row>
    <row r="967" spans="1:8" x14ac:dyDescent="0.35">
      <c r="A967" t="s">
        <v>4295</v>
      </c>
      <c r="B967" t="str">
        <f>"9781617285585"</f>
        <v>9781617285585</v>
      </c>
      <c r="C967" t="s">
        <v>4296</v>
      </c>
      <c r="D967" t="s">
        <v>4297</v>
      </c>
      <c r="E967" t="s">
        <v>4255</v>
      </c>
      <c r="F967" t="s">
        <v>4298</v>
      </c>
      <c r="G967" t="s">
        <v>17</v>
      </c>
      <c r="H967" t="s">
        <v>4299</v>
      </c>
    </row>
    <row r="968" spans="1:8" x14ac:dyDescent="0.35">
      <c r="A968" t="s">
        <v>4300</v>
      </c>
      <c r="B968" t="str">
        <f>"9781617287213"</f>
        <v>9781617287213</v>
      </c>
      <c r="C968" t="s">
        <v>4301</v>
      </c>
      <c r="D968" t="s">
        <v>4302</v>
      </c>
      <c r="E968" t="s">
        <v>4255</v>
      </c>
      <c r="F968" t="s">
        <v>4303</v>
      </c>
      <c r="G968" t="s">
        <v>22</v>
      </c>
      <c r="H968" t="s">
        <v>4304</v>
      </c>
    </row>
    <row r="969" spans="1:8" x14ac:dyDescent="0.35">
      <c r="A969" t="s">
        <v>4305</v>
      </c>
      <c r="B969" t="str">
        <f>"9781617284847"</f>
        <v>9781617284847</v>
      </c>
      <c r="C969" t="s">
        <v>4306</v>
      </c>
      <c r="D969" t="s">
        <v>4307</v>
      </c>
      <c r="E969" t="s">
        <v>4255</v>
      </c>
      <c r="F969" t="s">
        <v>4298</v>
      </c>
      <c r="G969" t="s">
        <v>44</v>
      </c>
      <c r="H969" t="s">
        <v>4308</v>
      </c>
    </row>
    <row r="970" spans="1:8" x14ac:dyDescent="0.35">
      <c r="A970" t="s">
        <v>4309</v>
      </c>
      <c r="B970" t="str">
        <f>"9781849350440"</f>
        <v>9781849350440</v>
      </c>
      <c r="C970" t="s">
        <v>4310</v>
      </c>
      <c r="D970" t="s">
        <v>4311</v>
      </c>
      <c r="E970" t="s">
        <v>970</v>
      </c>
      <c r="G970" t="s">
        <v>133</v>
      </c>
      <c r="H970" t="s">
        <v>4312</v>
      </c>
    </row>
    <row r="971" spans="1:8" x14ac:dyDescent="0.35">
      <c r="A971" t="s">
        <v>4313</v>
      </c>
      <c r="B971" t="str">
        <f>"9781849350730"</f>
        <v>9781849350730</v>
      </c>
      <c r="C971" t="s">
        <v>4314</v>
      </c>
      <c r="D971" t="s">
        <v>4315</v>
      </c>
      <c r="E971" t="s">
        <v>970</v>
      </c>
      <c r="G971" t="s">
        <v>44</v>
      </c>
      <c r="H971" t="s">
        <v>4316</v>
      </c>
    </row>
    <row r="972" spans="1:8" x14ac:dyDescent="0.35">
      <c r="A972" t="s">
        <v>4317</v>
      </c>
      <c r="B972" t="str">
        <f>"9789462099265"</f>
        <v>9789462099265</v>
      </c>
      <c r="C972" t="s">
        <v>4318</v>
      </c>
      <c r="D972" t="s">
        <v>4319</v>
      </c>
      <c r="E972" t="s">
        <v>540</v>
      </c>
      <c r="G972" t="s">
        <v>112</v>
      </c>
      <c r="H972" t="s">
        <v>4320</v>
      </c>
    </row>
    <row r="973" spans="1:8" x14ac:dyDescent="0.35">
      <c r="A973" t="s">
        <v>4321</v>
      </c>
      <c r="B973" t="str">
        <f>"9780826125569"</f>
        <v>9780826125569</v>
      </c>
      <c r="C973" t="s">
        <v>4322</v>
      </c>
      <c r="D973" t="s">
        <v>4323</v>
      </c>
      <c r="E973" t="s">
        <v>202</v>
      </c>
      <c r="G973" t="s">
        <v>1125</v>
      </c>
      <c r="H973" t="s">
        <v>4324</v>
      </c>
    </row>
    <row r="974" spans="1:8" x14ac:dyDescent="0.35">
      <c r="A974" t="s">
        <v>4325</v>
      </c>
      <c r="B974" t="str">
        <f>"9781439902684"</f>
        <v>9781439902684</v>
      </c>
      <c r="C974" t="s">
        <v>4326</v>
      </c>
      <c r="D974" t="s">
        <v>4327</v>
      </c>
      <c r="E974" t="s">
        <v>162</v>
      </c>
      <c r="G974" t="s">
        <v>2092</v>
      </c>
      <c r="H974" t="s">
        <v>4328</v>
      </c>
    </row>
    <row r="975" spans="1:8" x14ac:dyDescent="0.35">
      <c r="A975" t="s">
        <v>4329</v>
      </c>
      <c r="B975" t="str">
        <f>"9781603443630"</f>
        <v>9781603443630</v>
      </c>
      <c r="C975" t="s">
        <v>4330</v>
      </c>
      <c r="D975" t="s">
        <v>4331</v>
      </c>
      <c r="E975" t="s">
        <v>2225</v>
      </c>
      <c r="F975" t="s">
        <v>4332</v>
      </c>
      <c r="G975" t="s">
        <v>22</v>
      </c>
      <c r="H975" t="s">
        <v>4333</v>
      </c>
    </row>
    <row r="976" spans="1:8" x14ac:dyDescent="0.35">
      <c r="A976" t="s">
        <v>4334</v>
      </c>
      <c r="B976" t="str">
        <f>"9781603443029"</f>
        <v>9781603443029</v>
      </c>
      <c r="C976" t="s">
        <v>4335</v>
      </c>
      <c r="D976" t="s">
        <v>4336</v>
      </c>
      <c r="E976" t="s">
        <v>2225</v>
      </c>
      <c r="F976" t="s">
        <v>4337</v>
      </c>
      <c r="G976" t="s">
        <v>44</v>
      </c>
      <c r="H976" t="s">
        <v>4338</v>
      </c>
    </row>
    <row r="977" spans="1:8" x14ac:dyDescent="0.35">
      <c r="A977" t="s">
        <v>4339</v>
      </c>
      <c r="B977" t="str">
        <f>"9781603443753"</f>
        <v>9781603443753</v>
      </c>
      <c r="C977" t="s">
        <v>4340</v>
      </c>
      <c r="D977" t="s">
        <v>4341</v>
      </c>
      <c r="E977" t="s">
        <v>2225</v>
      </c>
      <c r="F977" t="s">
        <v>4342</v>
      </c>
      <c r="G977" t="s">
        <v>44</v>
      </c>
      <c r="H977" t="s">
        <v>4343</v>
      </c>
    </row>
    <row r="978" spans="1:8" x14ac:dyDescent="0.35">
      <c r="A978" t="s">
        <v>4344</v>
      </c>
      <c r="B978" t="str">
        <f>"9781603443760"</f>
        <v>9781603443760</v>
      </c>
      <c r="C978" t="s">
        <v>4345</v>
      </c>
      <c r="D978" t="s">
        <v>4346</v>
      </c>
      <c r="E978" t="s">
        <v>2225</v>
      </c>
      <c r="F978" t="s">
        <v>4347</v>
      </c>
      <c r="G978" t="s">
        <v>4348</v>
      </c>
      <c r="H978" t="s">
        <v>4349</v>
      </c>
    </row>
    <row r="979" spans="1:8" x14ac:dyDescent="0.35">
      <c r="A979" t="s">
        <v>4350</v>
      </c>
      <c r="B979" t="str">
        <f>"9781603443333"</f>
        <v>9781603443333</v>
      </c>
      <c r="C979" t="s">
        <v>4351</v>
      </c>
      <c r="D979" t="s">
        <v>4352</v>
      </c>
      <c r="E979" t="s">
        <v>2225</v>
      </c>
      <c r="F979" t="s">
        <v>4353</v>
      </c>
      <c r="G979" t="s">
        <v>2855</v>
      </c>
      <c r="H979" t="s">
        <v>4354</v>
      </c>
    </row>
    <row r="980" spans="1:8" x14ac:dyDescent="0.35">
      <c r="A980" t="s">
        <v>4355</v>
      </c>
      <c r="B980" t="str">
        <f>"9781603444033"</f>
        <v>9781603444033</v>
      </c>
      <c r="C980" t="s">
        <v>4356</v>
      </c>
      <c r="D980" t="s">
        <v>4357</v>
      </c>
      <c r="E980" t="s">
        <v>2225</v>
      </c>
      <c r="F980" t="s">
        <v>4358</v>
      </c>
      <c r="G980" t="s">
        <v>4359</v>
      </c>
      <c r="H980" t="s">
        <v>4360</v>
      </c>
    </row>
    <row r="981" spans="1:8" x14ac:dyDescent="0.35">
      <c r="A981" t="s">
        <v>4361</v>
      </c>
      <c r="B981" t="str">
        <f>"9781603444026"</f>
        <v>9781603444026</v>
      </c>
      <c r="C981" t="s">
        <v>4362</v>
      </c>
      <c r="D981" t="s">
        <v>4363</v>
      </c>
      <c r="E981" t="s">
        <v>2225</v>
      </c>
      <c r="F981" t="s">
        <v>2883</v>
      </c>
      <c r="G981" t="s">
        <v>39</v>
      </c>
      <c r="H981" t="s">
        <v>4364</v>
      </c>
    </row>
    <row r="982" spans="1:8" x14ac:dyDescent="0.35">
      <c r="A982" t="s">
        <v>4365</v>
      </c>
      <c r="B982" t="str">
        <f>"9781603444361"</f>
        <v>9781603444361</v>
      </c>
      <c r="C982" t="s">
        <v>4366</v>
      </c>
      <c r="D982" t="s">
        <v>4367</v>
      </c>
      <c r="E982" t="s">
        <v>2225</v>
      </c>
      <c r="F982" t="s">
        <v>4368</v>
      </c>
      <c r="G982" t="s">
        <v>17</v>
      </c>
      <c r="H982" t="s">
        <v>4369</v>
      </c>
    </row>
    <row r="983" spans="1:8" x14ac:dyDescent="0.35">
      <c r="A983" t="s">
        <v>4370</v>
      </c>
      <c r="B983" t="str">
        <f>"9781603444446"</f>
        <v>9781603444446</v>
      </c>
      <c r="C983" t="s">
        <v>4371</v>
      </c>
      <c r="D983" t="s">
        <v>4372</v>
      </c>
      <c r="E983" t="s">
        <v>2225</v>
      </c>
      <c r="F983" t="s">
        <v>4373</v>
      </c>
      <c r="G983" t="s">
        <v>44</v>
      </c>
      <c r="H983" t="s">
        <v>4374</v>
      </c>
    </row>
    <row r="984" spans="1:8" x14ac:dyDescent="0.35">
      <c r="A984" t="s">
        <v>4375</v>
      </c>
      <c r="B984" t="str">
        <f>"9781603444408"</f>
        <v>9781603444408</v>
      </c>
      <c r="C984" t="s">
        <v>4376</v>
      </c>
      <c r="D984" t="s">
        <v>4377</v>
      </c>
      <c r="E984" t="s">
        <v>2225</v>
      </c>
      <c r="F984" t="s">
        <v>4378</v>
      </c>
      <c r="G984" t="s">
        <v>4379</v>
      </c>
      <c r="H984" t="s">
        <v>4380</v>
      </c>
    </row>
    <row r="985" spans="1:8" x14ac:dyDescent="0.35">
      <c r="A985" t="s">
        <v>4381</v>
      </c>
      <c r="B985" t="str">
        <f>"9781603444569"</f>
        <v>9781603444569</v>
      </c>
      <c r="C985" t="s">
        <v>4382</v>
      </c>
      <c r="D985" t="s">
        <v>4383</v>
      </c>
      <c r="E985" t="s">
        <v>2225</v>
      </c>
      <c r="G985" t="s">
        <v>44</v>
      </c>
      <c r="H985" t="s">
        <v>4384</v>
      </c>
    </row>
    <row r="986" spans="1:8" x14ac:dyDescent="0.35">
      <c r="A986" t="s">
        <v>4385</v>
      </c>
      <c r="B986" t="str">
        <f>"9781603444514"</f>
        <v>9781603444514</v>
      </c>
      <c r="C986" t="s">
        <v>4386</v>
      </c>
      <c r="D986" t="s">
        <v>4387</v>
      </c>
      <c r="E986" t="s">
        <v>2225</v>
      </c>
      <c r="F986" t="s">
        <v>4388</v>
      </c>
      <c r="G986" t="s">
        <v>22</v>
      </c>
      <c r="H986" t="s">
        <v>4389</v>
      </c>
    </row>
    <row r="987" spans="1:8" x14ac:dyDescent="0.35">
      <c r="A987" t="s">
        <v>4390</v>
      </c>
      <c r="B987" t="str">
        <f>"9781603445085"</f>
        <v>9781603445085</v>
      </c>
      <c r="C987" t="s">
        <v>4391</v>
      </c>
      <c r="D987" t="s">
        <v>4392</v>
      </c>
      <c r="E987" t="s">
        <v>2225</v>
      </c>
      <c r="F987" t="s">
        <v>4353</v>
      </c>
      <c r="G987" t="s">
        <v>39</v>
      </c>
      <c r="H987" t="s">
        <v>4393</v>
      </c>
    </row>
    <row r="988" spans="1:8" x14ac:dyDescent="0.35">
      <c r="A988" t="s">
        <v>4394</v>
      </c>
      <c r="B988" t="str">
        <f>"9781603445016"</f>
        <v>9781603445016</v>
      </c>
      <c r="C988" t="s">
        <v>4395</v>
      </c>
      <c r="D988" t="s">
        <v>4396</v>
      </c>
      <c r="E988" t="s">
        <v>2225</v>
      </c>
      <c r="G988" t="s">
        <v>268</v>
      </c>
      <c r="H988" t="s">
        <v>4397</v>
      </c>
    </row>
    <row r="989" spans="1:8" x14ac:dyDescent="0.35">
      <c r="A989" t="s">
        <v>4398</v>
      </c>
      <c r="B989" t="str">
        <f>"9781603443739"</f>
        <v>9781603443739</v>
      </c>
      <c r="C989" t="s">
        <v>4399</v>
      </c>
      <c r="D989" t="s">
        <v>4400</v>
      </c>
      <c r="E989" t="s">
        <v>2225</v>
      </c>
      <c r="F989" t="s">
        <v>4401</v>
      </c>
      <c r="G989" t="s">
        <v>39</v>
      </c>
      <c r="H989" t="s">
        <v>4402</v>
      </c>
    </row>
    <row r="990" spans="1:8" x14ac:dyDescent="0.35">
      <c r="A990" t="s">
        <v>4403</v>
      </c>
      <c r="B990" t="str">
        <f>"9781603445368"</f>
        <v>9781603445368</v>
      </c>
      <c r="C990" t="s">
        <v>4404</v>
      </c>
      <c r="D990" t="s">
        <v>4405</v>
      </c>
      <c r="E990" t="s">
        <v>2225</v>
      </c>
      <c r="F990" t="s">
        <v>4406</v>
      </c>
      <c r="G990" t="s">
        <v>60</v>
      </c>
      <c r="H990" t="s">
        <v>4407</v>
      </c>
    </row>
    <row r="991" spans="1:8" x14ac:dyDescent="0.35">
      <c r="A991" t="s">
        <v>4408</v>
      </c>
      <c r="B991" t="str">
        <f>"9781603443395"</f>
        <v>9781603443395</v>
      </c>
      <c r="C991" t="s">
        <v>4409</v>
      </c>
      <c r="D991" t="s">
        <v>4410</v>
      </c>
      <c r="E991" t="s">
        <v>2225</v>
      </c>
      <c r="F991" t="s">
        <v>4358</v>
      </c>
      <c r="G991" t="s">
        <v>186</v>
      </c>
      <c r="H991" t="s">
        <v>4411</v>
      </c>
    </row>
    <row r="992" spans="1:8" x14ac:dyDescent="0.35">
      <c r="A992" t="s">
        <v>4412</v>
      </c>
      <c r="B992" t="str">
        <f>"9781603445634"</f>
        <v>9781603445634</v>
      </c>
      <c r="C992" t="s">
        <v>4413</v>
      </c>
      <c r="D992" t="s">
        <v>4414</v>
      </c>
      <c r="E992" t="s">
        <v>2225</v>
      </c>
      <c r="F992" t="s">
        <v>4406</v>
      </c>
      <c r="G992" t="s">
        <v>2082</v>
      </c>
      <c r="H992" t="s">
        <v>4415</v>
      </c>
    </row>
    <row r="993" spans="1:8" x14ac:dyDescent="0.35">
      <c r="A993" t="s">
        <v>4416</v>
      </c>
      <c r="B993" t="str">
        <f>"9781603442688"</f>
        <v>9781603442688</v>
      </c>
      <c r="C993" t="s">
        <v>4417</v>
      </c>
      <c r="D993" t="s">
        <v>4418</v>
      </c>
      <c r="E993" t="s">
        <v>2225</v>
      </c>
      <c r="F993" t="s">
        <v>4388</v>
      </c>
      <c r="G993" t="s">
        <v>44</v>
      </c>
      <c r="H993" t="s">
        <v>4419</v>
      </c>
    </row>
    <row r="994" spans="1:8" x14ac:dyDescent="0.35">
      <c r="A994" t="s">
        <v>4420</v>
      </c>
      <c r="B994" t="str">
        <f>"9781603443340"</f>
        <v>9781603443340</v>
      </c>
      <c r="C994" t="s">
        <v>4421</v>
      </c>
      <c r="D994" t="s">
        <v>4422</v>
      </c>
      <c r="E994" t="s">
        <v>2225</v>
      </c>
      <c r="F994" t="s">
        <v>4401</v>
      </c>
      <c r="G994" t="s">
        <v>376</v>
      </c>
      <c r="H994" t="s">
        <v>4423</v>
      </c>
    </row>
    <row r="995" spans="1:8" x14ac:dyDescent="0.35">
      <c r="A995" t="s">
        <v>4424</v>
      </c>
      <c r="B995" t="str">
        <f>"9781603443258"</f>
        <v>9781603443258</v>
      </c>
      <c r="C995" t="s">
        <v>4425</v>
      </c>
      <c r="D995" t="s">
        <v>4426</v>
      </c>
      <c r="E995" t="s">
        <v>2225</v>
      </c>
      <c r="G995" t="s">
        <v>4427</v>
      </c>
      <c r="H995" t="s">
        <v>4428</v>
      </c>
    </row>
    <row r="996" spans="1:8" x14ac:dyDescent="0.35">
      <c r="A996" t="s">
        <v>4429</v>
      </c>
      <c r="B996" t="str">
        <f>"9781603445986"</f>
        <v>9781603445986</v>
      </c>
      <c r="C996" t="s">
        <v>4430</v>
      </c>
      <c r="D996" t="s">
        <v>4431</v>
      </c>
      <c r="E996" t="s">
        <v>2225</v>
      </c>
      <c r="F996" t="s">
        <v>4388</v>
      </c>
      <c r="G996" t="s">
        <v>22</v>
      </c>
      <c r="H996" t="s">
        <v>4432</v>
      </c>
    </row>
    <row r="997" spans="1:8" x14ac:dyDescent="0.35">
      <c r="A997" t="s">
        <v>4433</v>
      </c>
      <c r="B997" t="str">
        <f>"9781603445696"</f>
        <v>9781603445696</v>
      </c>
      <c r="C997" t="s">
        <v>4434</v>
      </c>
      <c r="D997" t="s">
        <v>4435</v>
      </c>
      <c r="E997" t="s">
        <v>2225</v>
      </c>
      <c r="F997" t="s">
        <v>4436</v>
      </c>
      <c r="G997" t="s">
        <v>44</v>
      </c>
      <c r="H997" t="s">
        <v>4437</v>
      </c>
    </row>
    <row r="998" spans="1:8" x14ac:dyDescent="0.35">
      <c r="A998" t="s">
        <v>4438</v>
      </c>
      <c r="B998" t="str">
        <f>"9781603447577"</f>
        <v>9781603447577</v>
      </c>
      <c r="C998" t="s">
        <v>4439</v>
      </c>
      <c r="D998" t="s">
        <v>4440</v>
      </c>
      <c r="E998" t="s">
        <v>2225</v>
      </c>
      <c r="G998" t="s">
        <v>1551</v>
      </c>
      <c r="H998" t="s">
        <v>4441</v>
      </c>
    </row>
    <row r="999" spans="1:8" x14ac:dyDescent="0.35">
      <c r="A999" t="s">
        <v>4442</v>
      </c>
      <c r="B999" t="str">
        <f>"9781907822292"</f>
        <v>9781907822292</v>
      </c>
      <c r="C999" t="s">
        <v>4443</v>
      </c>
      <c r="D999" t="s">
        <v>4444</v>
      </c>
      <c r="E999" t="s">
        <v>4445</v>
      </c>
      <c r="F999" t="s">
        <v>4446</v>
      </c>
      <c r="G999" t="s">
        <v>44</v>
      </c>
      <c r="H999" t="s">
        <v>4447</v>
      </c>
    </row>
    <row r="1000" spans="1:8" x14ac:dyDescent="0.35">
      <c r="A1000" t="s">
        <v>4448</v>
      </c>
      <c r="B1000" t="str">
        <f>"9780820337166"</f>
        <v>9780820337166</v>
      </c>
      <c r="C1000" t="s">
        <v>4449</v>
      </c>
      <c r="D1000" t="s">
        <v>4450</v>
      </c>
      <c r="E1000" t="s">
        <v>2762</v>
      </c>
      <c r="F1000" t="s">
        <v>4451</v>
      </c>
      <c r="G1000" t="s">
        <v>83</v>
      </c>
      <c r="H1000" t="s">
        <v>4452</v>
      </c>
    </row>
    <row r="1001" spans="1:8" x14ac:dyDescent="0.35">
      <c r="A1001" t="s">
        <v>4453</v>
      </c>
      <c r="B1001" t="str">
        <f>"9780820336114"</f>
        <v>9780820336114</v>
      </c>
      <c r="C1001" t="s">
        <v>4454</v>
      </c>
      <c r="D1001" t="s">
        <v>4455</v>
      </c>
      <c r="E1001" t="s">
        <v>2762</v>
      </c>
      <c r="G1001" t="s">
        <v>55</v>
      </c>
      <c r="H1001" t="s">
        <v>4456</v>
      </c>
    </row>
    <row r="1002" spans="1:8" x14ac:dyDescent="0.35">
      <c r="A1002" t="s">
        <v>4457</v>
      </c>
      <c r="B1002" t="str">
        <f>"9780820341804"</f>
        <v>9780820341804</v>
      </c>
      <c r="C1002" t="s">
        <v>4458</v>
      </c>
      <c r="D1002" t="s">
        <v>4459</v>
      </c>
      <c r="E1002" t="s">
        <v>2762</v>
      </c>
      <c r="F1002" t="s">
        <v>4460</v>
      </c>
      <c r="G1002" t="s">
        <v>44</v>
      </c>
      <c r="H1002" t="s">
        <v>4461</v>
      </c>
    </row>
    <row r="1003" spans="1:8" x14ac:dyDescent="0.35">
      <c r="A1003" t="s">
        <v>4462</v>
      </c>
      <c r="B1003" t="str">
        <f>"9780820344010"</f>
        <v>9780820344010</v>
      </c>
      <c r="C1003" t="s">
        <v>4463</v>
      </c>
      <c r="D1003" t="s">
        <v>4464</v>
      </c>
      <c r="E1003" t="s">
        <v>2762</v>
      </c>
      <c r="F1003" t="s">
        <v>4465</v>
      </c>
      <c r="G1003" t="s">
        <v>2959</v>
      </c>
      <c r="H1003" t="s">
        <v>4466</v>
      </c>
    </row>
    <row r="1004" spans="1:8" x14ac:dyDescent="0.35">
      <c r="A1004" t="s">
        <v>4467</v>
      </c>
      <c r="B1004" t="str">
        <f>"9780827610378"</f>
        <v>9780827610378</v>
      </c>
      <c r="C1004" t="s">
        <v>4468</v>
      </c>
      <c r="D1004" t="s">
        <v>4469</v>
      </c>
      <c r="E1004" t="s">
        <v>4470</v>
      </c>
      <c r="G1004" t="s">
        <v>39</v>
      </c>
      <c r="H1004" t="s">
        <v>4471</v>
      </c>
    </row>
    <row r="1005" spans="1:8" x14ac:dyDescent="0.35">
      <c r="A1005" t="s">
        <v>4472</v>
      </c>
      <c r="B1005" t="str">
        <f>"9780826350565"</f>
        <v>9780826350565</v>
      </c>
      <c r="C1005" t="s">
        <v>4473</v>
      </c>
      <c r="D1005" t="s">
        <v>4474</v>
      </c>
      <c r="E1005" t="s">
        <v>2439</v>
      </c>
      <c r="G1005" t="s">
        <v>305</v>
      </c>
      <c r="H1005" t="s">
        <v>4475</v>
      </c>
    </row>
    <row r="1006" spans="1:8" x14ac:dyDescent="0.35">
      <c r="A1006" t="s">
        <v>4476</v>
      </c>
      <c r="B1006" t="str">
        <f>"9780826339058"</f>
        <v>9780826339058</v>
      </c>
      <c r="C1006" t="s">
        <v>4477</v>
      </c>
      <c r="D1006" t="s">
        <v>3985</v>
      </c>
      <c r="E1006" t="s">
        <v>2439</v>
      </c>
      <c r="G1006" t="s">
        <v>39</v>
      </c>
      <c r="H1006" t="s">
        <v>4478</v>
      </c>
    </row>
    <row r="1007" spans="1:8" x14ac:dyDescent="0.35">
      <c r="A1007" t="s">
        <v>4479</v>
      </c>
      <c r="B1007" t="str">
        <f>"9780807869376"</f>
        <v>9780807869376</v>
      </c>
      <c r="C1007" t="s">
        <v>4480</v>
      </c>
      <c r="D1007" t="s">
        <v>4481</v>
      </c>
      <c r="E1007" t="s">
        <v>328</v>
      </c>
      <c r="G1007" t="s">
        <v>133</v>
      </c>
      <c r="H1007" t="s">
        <v>4482</v>
      </c>
    </row>
    <row r="1008" spans="1:8" x14ac:dyDescent="0.35">
      <c r="A1008" t="s">
        <v>4483</v>
      </c>
      <c r="B1008" t="str">
        <f>"9789280871692"</f>
        <v>9789280871692</v>
      </c>
      <c r="C1008" t="s">
        <v>4484</v>
      </c>
      <c r="D1008" t="s">
        <v>4485</v>
      </c>
      <c r="E1008" t="s">
        <v>4486</v>
      </c>
      <c r="G1008" t="s">
        <v>305</v>
      </c>
      <c r="H1008" t="s">
        <v>4487</v>
      </c>
    </row>
    <row r="1009" spans="1:8" x14ac:dyDescent="0.35">
      <c r="A1009" t="s">
        <v>4488</v>
      </c>
      <c r="B1009" t="str">
        <f>"9780870819926"</f>
        <v>9780870819926</v>
      </c>
      <c r="C1009" t="s">
        <v>4489</v>
      </c>
      <c r="D1009" t="s">
        <v>4490</v>
      </c>
      <c r="E1009" t="s">
        <v>4491</v>
      </c>
      <c r="F1009" t="s">
        <v>4492</v>
      </c>
      <c r="G1009" t="s">
        <v>44</v>
      </c>
      <c r="H1009" t="s">
        <v>4493</v>
      </c>
    </row>
    <row r="1010" spans="1:8" x14ac:dyDescent="0.35">
      <c r="A1010" t="s">
        <v>4494</v>
      </c>
      <c r="B1010" t="str">
        <f>"9781607320043"</f>
        <v>9781607320043</v>
      </c>
      <c r="C1010" t="s">
        <v>4495</v>
      </c>
      <c r="D1010" t="s">
        <v>4496</v>
      </c>
      <c r="E1010" t="s">
        <v>4491</v>
      </c>
      <c r="F1010" t="s">
        <v>4492</v>
      </c>
      <c r="G1010" t="s">
        <v>268</v>
      </c>
      <c r="H1010" t="s">
        <v>4497</v>
      </c>
    </row>
    <row r="1011" spans="1:8" x14ac:dyDescent="0.35">
      <c r="A1011" t="s">
        <v>4498</v>
      </c>
      <c r="B1011" t="str">
        <f>"9781607320418"</f>
        <v>9781607320418</v>
      </c>
      <c r="C1011" t="s">
        <v>4499</v>
      </c>
      <c r="D1011" t="s">
        <v>4500</v>
      </c>
      <c r="E1011" t="s">
        <v>4491</v>
      </c>
      <c r="G1011" t="s">
        <v>44</v>
      </c>
      <c r="H1011" t="s">
        <v>4501</v>
      </c>
    </row>
    <row r="1012" spans="1:8" x14ac:dyDescent="0.35">
      <c r="A1012" t="s">
        <v>4502</v>
      </c>
      <c r="B1012" t="str">
        <f>"9781607320197"</f>
        <v>9781607320197</v>
      </c>
      <c r="C1012" t="s">
        <v>4503</v>
      </c>
      <c r="D1012" t="s">
        <v>4504</v>
      </c>
      <c r="E1012" t="s">
        <v>4491</v>
      </c>
      <c r="G1012" t="s">
        <v>44</v>
      </c>
      <c r="H1012" t="s">
        <v>4505</v>
      </c>
    </row>
    <row r="1013" spans="1:8" x14ac:dyDescent="0.35">
      <c r="A1013" t="s">
        <v>4506</v>
      </c>
      <c r="B1013" t="str">
        <f>"9781607320333"</f>
        <v>9781607320333</v>
      </c>
      <c r="C1013" t="s">
        <v>4507</v>
      </c>
      <c r="D1013" t="s">
        <v>4508</v>
      </c>
      <c r="E1013" t="s">
        <v>4491</v>
      </c>
      <c r="F1013" t="s">
        <v>4492</v>
      </c>
      <c r="G1013" t="s">
        <v>44</v>
      </c>
      <c r="H1013" t="s">
        <v>4509</v>
      </c>
    </row>
    <row r="1014" spans="1:8" x14ac:dyDescent="0.35">
      <c r="A1014" t="s">
        <v>4510</v>
      </c>
      <c r="B1014" t="str">
        <f>"9781607320173"</f>
        <v>9781607320173</v>
      </c>
      <c r="C1014" t="s">
        <v>4511</v>
      </c>
      <c r="D1014" t="s">
        <v>4512</v>
      </c>
      <c r="E1014" t="s">
        <v>4491</v>
      </c>
      <c r="F1014" t="s">
        <v>4492</v>
      </c>
      <c r="G1014" t="s">
        <v>4513</v>
      </c>
      <c r="H1014" t="s">
        <v>4514</v>
      </c>
    </row>
    <row r="1015" spans="1:8" x14ac:dyDescent="0.35">
      <c r="A1015" t="s">
        <v>4515</v>
      </c>
      <c r="B1015" t="str">
        <f>"9781607321729"</f>
        <v>9781607321729</v>
      </c>
      <c r="C1015" t="s">
        <v>4516</v>
      </c>
      <c r="D1015" t="s">
        <v>4517</v>
      </c>
      <c r="E1015" t="s">
        <v>4491</v>
      </c>
      <c r="G1015" t="s">
        <v>376</v>
      </c>
      <c r="H1015" t="s">
        <v>4518</v>
      </c>
    </row>
    <row r="1016" spans="1:8" x14ac:dyDescent="0.35">
      <c r="A1016" t="s">
        <v>4519</v>
      </c>
      <c r="B1016" t="str">
        <f>"9781607322061"</f>
        <v>9781607322061</v>
      </c>
      <c r="C1016" t="s">
        <v>4520</v>
      </c>
      <c r="D1016" t="s">
        <v>4521</v>
      </c>
      <c r="E1016" t="s">
        <v>4491</v>
      </c>
      <c r="G1016" t="s">
        <v>44</v>
      </c>
      <c r="H1016" t="s">
        <v>4522</v>
      </c>
    </row>
    <row r="1017" spans="1:8" x14ac:dyDescent="0.35">
      <c r="A1017" t="s">
        <v>4523</v>
      </c>
      <c r="B1017" t="str">
        <f>"9781607322108"</f>
        <v>9781607322108</v>
      </c>
      <c r="C1017" t="s">
        <v>4524</v>
      </c>
      <c r="D1017" t="s">
        <v>4525</v>
      </c>
      <c r="E1017" t="s">
        <v>4491</v>
      </c>
      <c r="G1017" t="s">
        <v>44</v>
      </c>
      <c r="H1017" t="s">
        <v>4526</v>
      </c>
    </row>
    <row r="1018" spans="1:8" x14ac:dyDescent="0.35">
      <c r="A1018" t="s">
        <v>4527</v>
      </c>
      <c r="B1018" t="str">
        <f>"9781607322801"</f>
        <v>9781607322801</v>
      </c>
      <c r="C1018" t="s">
        <v>4528</v>
      </c>
      <c r="D1018" t="s">
        <v>4529</v>
      </c>
      <c r="E1018" t="s">
        <v>4491</v>
      </c>
      <c r="G1018" t="s">
        <v>44</v>
      </c>
      <c r="H1018" t="s">
        <v>4530</v>
      </c>
    </row>
    <row r="1019" spans="1:8" x14ac:dyDescent="0.35">
      <c r="A1019" t="s">
        <v>4531</v>
      </c>
      <c r="B1019" t="str">
        <f>"9781607323013"</f>
        <v>9781607323013</v>
      </c>
      <c r="C1019" t="s">
        <v>4532</v>
      </c>
      <c r="D1019" t="s">
        <v>4533</v>
      </c>
      <c r="E1019" t="s">
        <v>4491</v>
      </c>
      <c r="G1019" t="s">
        <v>44</v>
      </c>
      <c r="H1019" t="s">
        <v>4534</v>
      </c>
    </row>
    <row r="1020" spans="1:8" x14ac:dyDescent="0.35">
      <c r="A1020" t="s">
        <v>4535</v>
      </c>
      <c r="B1020" t="str">
        <f>"9781607323631"</f>
        <v>9781607323631</v>
      </c>
      <c r="C1020" t="s">
        <v>4536</v>
      </c>
      <c r="D1020" t="s">
        <v>4537</v>
      </c>
      <c r="E1020" t="s">
        <v>4491</v>
      </c>
      <c r="G1020" t="s">
        <v>60</v>
      </c>
      <c r="H1020" t="s">
        <v>4538</v>
      </c>
    </row>
    <row r="1021" spans="1:8" x14ac:dyDescent="0.35">
      <c r="A1021" t="s">
        <v>4539</v>
      </c>
      <c r="B1021" t="str">
        <f>"9781607323297"</f>
        <v>9781607323297</v>
      </c>
      <c r="C1021" t="s">
        <v>4540</v>
      </c>
      <c r="D1021" t="s">
        <v>4541</v>
      </c>
      <c r="E1021" t="s">
        <v>4491</v>
      </c>
      <c r="G1021" t="s">
        <v>44</v>
      </c>
      <c r="H1021" t="s">
        <v>4542</v>
      </c>
    </row>
    <row r="1022" spans="1:8" x14ac:dyDescent="0.35">
      <c r="A1022" t="s">
        <v>4543</v>
      </c>
      <c r="B1022" t="str">
        <f>"9781626740679"</f>
        <v>9781626740679</v>
      </c>
      <c r="C1022" t="s">
        <v>4544</v>
      </c>
      <c r="D1022" t="s">
        <v>4545</v>
      </c>
      <c r="E1022" t="s">
        <v>735</v>
      </c>
      <c r="F1022" t="s">
        <v>4546</v>
      </c>
      <c r="G1022" t="s">
        <v>305</v>
      </c>
      <c r="H1022" t="s">
        <v>4547</v>
      </c>
    </row>
    <row r="1023" spans="1:8" x14ac:dyDescent="0.35">
      <c r="A1023" t="s">
        <v>4548</v>
      </c>
      <c r="B1023" t="str">
        <f>"9781626745391"</f>
        <v>9781626745391</v>
      </c>
      <c r="C1023" t="s">
        <v>4549</v>
      </c>
      <c r="D1023" t="s">
        <v>4550</v>
      </c>
      <c r="E1023" t="s">
        <v>735</v>
      </c>
      <c r="G1023" t="s">
        <v>186</v>
      </c>
      <c r="H1023" t="s">
        <v>4551</v>
      </c>
    </row>
    <row r="1024" spans="1:8" x14ac:dyDescent="0.35">
      <c r="A1024" t="s">
        <v>4552</v>
      </c>
      <c r="B1024" t="str">
        <f>"9780821395639"</f>
        <v>9780821395639</v>
      </c>
      <c r="C1024" t="s">
        <v>4553</v>
      </c>
      <c r="D1024" t="s">
        <v>4554</v>
      </c>
      <c r="E1024" t="s">
        <v>481</v>
      </c>
      <c r="F1024" t="s">
        <v>1204</v>
      </c>
      <c r="G1024" t="s">
        <v>112</v>
      </c>
      <c r="H1024" t="s">
        <v>4555</v>
      </c>
    </row>
    <row r="1025" spans="1:8" x14ac:dyDescent="0.35">
      <c r="A1025" t="s">
        <v>4556</v>
      </c>
      <c r="B1025" t="str">
        <f>"9780191638244"</f>
        <v>9780191638244</v>
      </c>
      <c r="C1025" t="s">
        <v>4557</v>
      </c>
      <c r="D1025" t="s">
        <v>4558</v>
      </c>
      <c r="E1025" t="s">
        <v>355</v>
      </c>
      <c r="F1025" t="s">
        <v>4559</v>
      </c>
      <c r="G1025" t="s">
        <v>17</v>
      </c>
      <c r="H1025" t="s">
        <v>4560</v>
      </c>
    </row>
    <row r="1026" spans="1:8" x14ac:dyDescent="0.35">
      <c r="A1026" t="s">
        <v>4561</v>
      </c>
      <c r="B1026" t="str">
        <f>"9781136735639"</f>
        <v>9781136735639</v>
      </c>
      <c r="C1026" t="s">
        <v>4562</v>
      </c>
      <c r="D1026" t="s">
        <v>4563</v>
      </c>
      <c r="E1026" t="s">
        <v>11</v>
      </c>
      <c r="G1026" t="s">
        <v>112</v>
      </c>
      <c r="H1026" t="s">
        <v>4564</v>
      </c>
    </row>
    <row r="1027" spans="1:8" x14ac:dyDescent="0.35">
      <c r="A1027" t="s">
        <v>4565</v>
      </c>
      <c r="B1027" t="str">
        <f>"9780203079911"</f>
        <v>9780203079911</v>
      </c>
      <c r="C1027" t="s">
        <v>4566</v>
      </c>
      <c r="D1027" t="s">
        <v>4567</v>
      </c>
      <c r="E1027" t="s">
        <v>11</v>
      </c>
      <c r="F1027" t="s">
        <v>4568</v>
      </c>
      <c r="G1027" t="s">
        <v>305</v>
      </c>
      <c r="H1027" t="s">
        <v>4569</v>
      </c>
    </row>
    <row r="1028" spans="1:8" x14ac:dyDescent="0.35">
      <c r="A1028" t="s">
        <v>4570</v>
      </c>
      <c r="B1028" t="str">
        <f>"9780203386224"</f>
        <v>9780203386224</v>
      </c>
      <c r="C1028" t="s">
        <v>4571</v>
      </c>
      <c r="D1028" t="s">
        <v>4572</v>
      </c>
      <c r="E1028" t="s">
        <v>11</v>
      </c>
      <c r="F1028" t="s">
        <v>4573</v>
      </c>
      <c r="G1028" t="s">
        <v>975</v>
      </c>
      <c r="H1028" t="s">
        <v>4574</v>
      </c>
    </row>
    <row r="1029" spans="1:8" x14ac:dyDescent="0.35">
      <c r="A1029" t="s">
        <v>4575</v>
      </c>
      <c r="B1029" t="str">
        <f>"9781611920147"</f>
        <v>9781611920147</v>
      </c>
      <c r="C1029" t="s">
        <v>4576</v>
      </c>
      <c r="D1029" t="s">
        <v>4577</v>
      </c>
      <c r="E1029" t="s">
        <v>4578</v>
      </c>
      <c r="F1029" t="s">
        <v>4579</v>
      </c>
      <c r="G1029" t="s">
        <v>39</v>
      </c>
      <c r="H1029" t="s">
        <v>4580</v>
      </c>
    </row>
    <row r="1030" spans="1:8" x14ac:dyDescent="0.35">
      <c r="A1030" t="s">
        <v>4581</v>
      </c>
      <c r="B1030" t="str">
        <f>"9781611920932"</f>
        <v>9781611920932</v>
      </c>
      <c r="C1030" t="s">
        <v>4582</v>
      </c>
      <c r="D1030" t="s">
        <v>4583</v>
      </c>
      <c r="E1030" t="s">
        <v>4578</v>
      </c>
      <c r="F1030" t="s">
        <v>4584</v>
      </c>
      <c r="G1030" t="s">
        <v>22</v>
      </c>
      <c r="H1030" t="s">
        <v>4585</v>
      </c>
    </row>
    <row r="1031" spans="1:8" x14ac:dyDescent="0.35">
      <c r="A1031" t="s">
        <v>4586</v>
      </c>
      <c r="B1031" t="str">
        <f>"9781611920383"</f>
        <v>9781611920383</v>
      </c>
      <c r="C1031" t="s">
        <v>4587</v>
      </c>
      <c r="D1031" t="s">
        <v>4588</v>
      </c>
      <c r="E1031" t="s">
        <v>4578</v>
      </c>
      <c r="F1031" t="s">
        <v>4584</v>
      </c>
      <c r="G1031" t="s">
        <v>1116</v>
      </c>
      <c r="H1031" t="s">
        <v>4589</v>
      </c>
    </row>
    <row r="1032" spans="1:8" x14ac:dyDescent="0.35">
      <c r="A1032" t="s">
        <v>4590</v>
      </c>
      <c r="B1032" t="str">
        <f>"9781611922004"</f>
        <v>9781611922004</v>
      </c>
      <c r="C1032" t="s">
        <v>4591</v>
      </c>
      <c r="D1032" t="s">
        <v>4592</v>
      </c>
      <c r="E1032" t="s">
        <v>4578</v>
      </c>
      <c r="G1032" t="s">
        <v>55</v>
      </c>
      <c r="H1032" t="s">
        <v>4593</v>
      </c>
    </row>
    <row r="1033" spans="1:8" x14ac:dyDescent="0.35">
      <c r="A1033" t="s">
        <v>4594</v>
      </c>
      <c r="B1033" t="str">
        <f>"9781611920000"</f>
        <v>9781611920000</v>
      </c>
      <c r="C1033" t="s">
        <v>4595</v>
      </c>
      <c r="D1033" t="s">
        <v>4596</v>
      </c>
      <c r="E1033" t="s">
        <v>4578</v>
      </c>
      <c r="F1033" t="s">
        <v>4584</v>
      </c>
      <c r="G1033" t="s">
        <v>39</v>
      </c>
      <c r="H1033" t="s">
        <v>4597</v>
      </c>
    </row>
    <row r="1034" spans="1:8" x14ac:dyDescent="0.35">
      <c r="A1034" t="s">
        <v>4598</v>
      </c>
      <c r="B1034" t="str">
        <f>"9781611920413"</f>
        <v>9781611920413</v>
      </c>
      <c r="C1034" t="s">
        <v>4599</v>
      </c>
      <c r="D1034" t="s">
        <v>4600</v>
      </c>
      <c r="E1034" t="s">
        <v>4578</v>
      </c>
      <c r="F1034" t="s">
        <v>4584</v>
      </c>
      <c r="G1034" t="s">
        <v>55</v>
      </c>
      <c r="H1034" t="s">
        <v>4601</v>
      </c>
    </row>
    <row r="1035" spans="1:8" x14ac:dyDescent="0.35">
      <c r="A1035" t="s">
        <v>4602</v>
      </c>
      <c r="B1035" t="str">
        <f>"9781611921496"</f>
        <v>9781611921496</v>
      </c>
      <c r="C1035" t="s">
        <v>4603</v>
      </c>
      <c r="D1035" t="s">
        <v>4604</v>
      </c>
      <c r="E1035" t="s">
        <v>4578</v>
      </c>
      <c r="G1035" t="s">
        <v>139</v>
      </c>
      <c r="H1035" t="s">
        <v>4605</v>
      </c>
    </row>
    <row r="1036" spans="1:8" x14ac:dyDescent="0.35">
      <c r="A1036" t="s">
        <v>4606</v>
      </c>
      <c r="B1036" t="str">
        <f>"9781611920420"</f>
        <v>9781611920420</v>
      </c>
      <c r="C1036" t="s">
        <v>4607</v>
      </c>
      <c r="D1036" t="s">
        <v>4608</v>
      </c>
      <c r="E1036" t="s">
        <v>4578</v>
      </c>
      <c r="G1036" t="s">
        <v>44</v>
      </c>
      <c r="H1036" t="s">
        <v>4609</v>
      </c>
    </row>
    <row r="1037" spans="1:8" x14ac:dyDescent="0.35">
      <c r="A1037" t="s">
        <v>4610</v>
      </c>
      <c r="B1037" t="str">
        <f>"9781611922615"</f>
        <v>9781611922615</v>
      </c>
      <c r="C1037" t="s">
        <v>4611</v>
      </c>
      <c r="D1037" t="s">
        <v>4612</v>
      </c>
      <c r="E1037" t="s">
        <v>4578</v>
      </c>
      <c r="F1037" t="s">
        <v>4579</v>
      </c>
      <c r="G1037" t="s">
        <v>44</v>
      </c>
      <c r="H1037" t="s">
        <v>4613</v>
      </c>
    </row>
    <row r="1038" spans="1:8" x14ac:dyDescent="0.35">
      <c r="A1038" t="s">
        <v>4614</v>
      </c>
      <c r="B1038" t="str">
        <f>"9781611922684"</f>
        <v>9781611922684</v>
      </c>
      <c r="C1038" t="s">
        <v>4615</v>
      </c>
      <c r="D1038" t="s">
        <v>4616</v>
      </c>
      <c r="E1038" t="s">
        <v>4578</v>
      </c>
      <c r="F1038" t="s">
        <v>4579</v>
      </c>
      <c r="G1038" t="s">
        <v>146</v>
      </c>
      <c r="H1038" t="s">
        <v>4617</v>
      </c>
    </row>
    <row r="1039" spans="1:8" x14ac:dyDescent="0.35">
      <c r="A1039" t="s">
        <v>4618</v>
      </c>
      <c r="B1039" t="str">
        <f>"9781611923704"</f>
        <v>9781611923704</v>
      </c>
      <c r="C1039" t="s">
        <v>4619</v>
      </c>
      <c r="D1039" t="s">
        <v>4620</v>
      </c>
      <c r="E1039" t="s">
        <v>4578</v>
      </c>
      <c r="G1039" t="s">
        <v>39</v>
      </c>
      <c r="H1039" t="s">
        <v>4621</v>
      </c>
    </row>
    <row r="1040" spans="1:8" x14ac:dyDescent="0.35">
      <c r="A1040" t="s">
        <v>4622</v>
      </c>
      <c r="B1040" t="str">
        <f>"9781611922677"</f>
        <v>9781611922677</v>
      </c>
      <c r="C1040" t="s">
        <v>4623</v>
      </c>
      <c r="D1040" t="s">
        <v>4624</v>
      </c>
      <c r="E1040" t="s">
        <v>4578</v>
      </c>
      <c r="F1040" t="s">
        <v>4579</v>
      </c>
      <c r="G1040" t="s">
        <v>60</v>
      </c>
      <c r="H1040" t="s">
        <v>4625</v>
      </c>
    </row>
    <row r="1041" spans="1:8" x14ac:dyDescent="0.35">
      <c r="A1041" t="s">
        <v>4626</v>
      </c>
      <c r="B1041" t="str">
        <f>"9781611920390"</f>
        <v>9781611920390</v>
      </c>
      <c r="C1041" t="s">
        <v>4627</v>
      </c>
      <c r="D1041" t="s">
        <v>4628</v>
      </c>
      <c r="E1041" t="s">
        <v>4578</v>
      </c>
      <c r="F1041" t="s">
        <v>4584</v>
      </c>
      <c r="G1041" t="s">
        <v>96</v>
      </c>
      <c r="H1041" t="s">
        <v>4629</v>
      </c>
    </row>
    <row r="1042" spans="1:8" x14ac:dyDescent="0.35">
      <c r="A1042" t="s">
        <v>4630</v>
      </c>
      <c r="B1042" t="str">
        <f>"9781611922318"</f>
        <v>9781611922318</v>
      </c>
      <c r="C1042" t="s">
        <v>4631</v>
      </c>
      <c r="D1042" t="s">
        <v>4632</v>
      </c>
      <c r="E1042" t="s">
        <v>4578</v>
      </c>
      <c r="F1042" t="s">
        <v>4579</v>
      </c>
      <c r="G1042" t="s">
        <v>39</v>
      </c>
      <c r="H1042" t="s">
        <v>4633</v>
      </c>
    </row>
    <row r="1043" spans="1:8" x14ac:dyDescent="0.35">
      <c r="A1043" t="s">
        <v>4634</v>
      </c>
      <c r="B1043" t="str">
        <f>"9781611923629"</f>
        <v>9781611923629</v>
      </c>
      <c r="C1043" t="s">
        <v>4635</v>
      </c>
      <c r="D1043" t="s">
        <v>4636</v>
      </c>
      <c r="E1043" t="s">
        <v>4578</v>
      </c>
      <c r="F1043" t="s">
        <v>4584</v>
      </c>
      <c r="G1043" t="s">
        <v>39</v>
      </c>
      <c r="H1043" t="s">
        <v>4637</v>
      </c>
    </row>
    <row r="1044" spans="1:8" x14ac:dyDescent="0.35">
      <c r="A1044" t="s">
        <v>4638</v>
      </c>
      <c r="B1044" t="str">
        <f>"9781611920369"</f>
        <v>9781611920369</v>
      </c>
      <c r="C1044" t="s">
        <v>4639</v>
      </c>
      <c r="D1044" t="s">
        <v>4640</v>
      </c>
      <c r="E1044" t="s">
        <v>4641</v>
      </c>
      <c r="F1044" t="s">
        <v>4579</v>
      </c>
      <c r="G1044" t="s">
        <v>44</v>
      </c>
      <c r="H1044" t="s">
        <v>4642</v>
      </c>
    </row>
    <row r="1045" spans="1:8" x14ac:dyDescent="0.35">
      <c r="A1045" t="s">
        <v>4643</v>
      </c>
      <c r="B1045" t="str">
        <f>"9781611922899"</f>
        <v>9781611922899</v>
      </c>
      <c r="C1045" t="s">
        <v>4644</v>
      </c>
      <c r="D1045" t="s">
        <v>4645</v>
      </c>
      <c r="E1045" t="s">
        <v>4641</v>
      </c>
      <c r="G1045" t="s">
        <v>60</v>
      </c>
      <c r="H1045" t="s">
        <v>4646</v>
      </c>
    </row>
    <row r="1046" spans="1:8" x14ac:dyDescent="0.35">
      <c r="A1046" t="s">
        <v>4647</v>
      </c>
      <c r="B1046" t="str">
        <f>"9781611924473"</f>
        <v>9781611924473</v>
      </c>
      <c r="C1046" t="s">
        <v>4648</v>
      </c>
      <c r="D1046" t="s">
        <v>4649</v>
      </c>
      <c r="E1046" t="s">
        <v>4578</v>
      </c>
      <c r="G1046" t="s">
        <v>60</v>
      </c>
      <c r="H1046" t="s">
        <v>4650</v>
      </c>
    </row>
    <row r="1047" spans="1:8" x14ac:dyDescent="0.35">
      <c r="A1047" t="s">
        <v>4651</v>
      </c>
      <c r="B1047" t="str">
        <f>"9781611924275"</f>
        <v>9781611924275</v>
      </c>
      <c r="C1047" t="s">
        <v>4652</v>
      </c>
      <c r="D1047" t="s">
        <v>4653</v>
      </c>
      <c r="E1047" t="s">
        <v>4578</v>
      </c>
      <c r="G1047" t="s">
        <v>60</v>
      </c>
      <c r="H1047" t="s">
        <v>4654</v>
      </c>
    </row>
    <row r="1048" spans="1:8" x14ac:dyDescent="0.35">
      <c r="A1048" t="s">
        <v>4655</v>
      </c>
      <c r="B1048" t="str">
        <f>"9781611920642"</f>
        <v>9781611920642</v>
      </c>
      <c r="C1048" t="s">
        <v>4656</v>
      </c>
      <c r="D1048" t="s">
        <v>4657</v>
      </c>
      <c r="E1048" t="s">
        <v>4578</v>
      </c>
      <c r="G1048" t="s">
        <v>60</v>
      </c>
      <c r="H1048" t="s">
        <v>4658</v>
      </c>
    </row>
    <row r="1049" spans="1:8" x14ac:dyDescent="0.35">
      <c r="A1049" t="s">
        <v>4659</v>
      </c>
      <c r="B1049" t="str">
        <f>"9781611924589"</f>
        <v>9781611924589</v>
      </c>
      <c r="C1049" t="s">
        <v>4660</v>
      </c>
      <c r="D1049" t="s">
        <v>4661</v>
      </c>
      <c r="E1049" t="s">
        <v>4578</v>
      </c>
      <c r="G1049" t="s">
        <v>60</v>
      </c>
      <c r="H1049" t="s">
        <v>4662</v>
      </c>
    </row>
    <row r="1050" spans="1:8" x14ac:dyDescent="0.35">
      <c r="A1050" t="s">
        <v>4663</v>
      </c>
      <c r="B1050" t="str">
        <f>"9781611925258"</f>
        <v>9781611925258</v>
      </c>
      <c r="C1050" t="s">
        <v>4664</v>
      </c>
      <c r="D1050" t="s">
        <v>4665</v>
      </c>
      <c r="E1050" t="s">
        <v>4578</v>
      </c>
      <c r="G1050" t="s">
        <v>60</v>
      </c>
      <c r="H1050" t="s">
        <v>4666</v>
      </c>
    </row>
    <row r="1051" spans="1:8" x14ac:dyDescent="0.35">
      <c r="A1051" t="s">
        <v>4667</v>
      </c>
      <c r="B1051" t="str">
        <f>"9781611925197"</f>
        <v>9781611925197</v>
      </c>
      <c r="C1051" t="s">
        <v>4668</v>
      </c>
      <c r="D1051" t="s">
        <v>4669</v>
      </c>
      <c r="E1051" t="s">
        <v>4641</v>
      </c>
      <c r="G1051" t="s">
        <v>60</v>
      </c>
      <c r="H1051" t="s">
        <v>4670</v>
      </c>
    </row>
    <row r="1052" spans="1:8" x14ac:dyDescent="0.35">
      <c r="A1052" t="s">
        <v>4671</v>
      </c>
      <c r="B1052" t="str">
        <f>"9781611924886"</f>
        <v>9781611924886</v>
      </c>
      <c r="C1052" t="s">
        <v>4672</v>
      </c>
      <c r="D1052" t="s">
        <v>4673</v>
      </c>
      <c r="E1052" t="s">
        <v>4578</v>
      </c>
      <c r="F1052" t="s">
        <v>4674</v>
      </c>
      <c r="G1052" t="s">
        <v>60</v>
      </c>
      <c r="H1052" t="s">
        <v>4675</v>
      </c>
    </row>
    <row r="1053" spans="1:8" x14ac:dyDescent="0.35">
      <c r="A1053" t="s">
        <v>4676</v>
      </c>
      <c r="B1053" t="str">
        <f>"9781611925234"</f>
        <v>9781611925234</v>
      </c>
      <c r="C1053" t="s">
        <v>4677</v>
      </c>
      <c r="D1053" t="s">
        <v>4678</v>
      </c>
      <c r="E1053" t="s">
        <v>4578</v>
      </c>
      <c r="G1053" t="s">
        <v>44</v>
      </c>
      <c r="H1053" t="s">
        <v>4679</v>
      </c>
    </row>
    <row r="1054" spans="1:8" x14ac:dyDescent="0.35">
      <c r="A1054" t="s">
        <v>4680</v>
      </c>
      <c r="B1054" t="str">
        <f>"9780838758137"</f>
        <v>9780838758137</v>
      </c>
      <c r="C1054" t="s">
        <v>4681</v>
      </c>
      <c r="D1054" t="s">
        <v>4682</v>
      </c>
      <c r="E1054" t="s">
        <v>1328</v>
      </c>
      <c r="G1054" t="s">
        <v>60</v>
      </c>
      <c r="H1054" t="s">
        <v>4683</v>
      </c>
    </row>
    <row r="1055" spans="1:8" x14ac:dyDescent="0.35">
      <c r="A1055" t="s">
        <v>4684</v>
      </c>
      <c r="B1055" t="str">
        <f>"9780838758267"</f>
        <v>9780838758267</v>
      </c>
      <c r="C1055" t="s">
        <v>4685</v>
      </c>
      <c r="D1055" t="s">
        <v>4686</v>
      </c>
      <c r="E1055" t="s">
        <v>1328</v>
      </c>
      <c r="G1055" t="s">
        <v>60</v>
      </c>
      <c r="H1055" t="s">
        <v>4687</v>
      </c>
    </row>
    <row r="1056" spans="1:8" x14ac:dyDescent="0.35">
      <c r="A1056" t="s">
        <v>4688</v>
      </c>
      <c r="B1056" t="str">
        <f>"9780807079676"</f>
        <v>9780807079676</v>
      </c>
      <c r="C1056" t="s">
        <v>4689</v>
      </c>
      <c r="D1056" t="s">
        <v>4690</v>
      </c>
      <c r="E1056" t="s">
        <v>4691</v>
      </c>
      <c r="G1056" t="s">
        <v>39</v>
      </c>
      <c r="H1056" t="s">
        <v>4692</v>
      </c>
    </row>
    <row r="1057" spans="1:8" x14ac:dyDescent="0.35">
      <c r="A1057" t="s">
        <v>4693</v>
      </c>
      <c r="B1057" t="str">
        <f>"9780807000397"</f>
        <v>9780807000397</v>
      </c>
      <c r="C1057" t="s">
        <v>4694</v>
      </c>
      <c r="D1057" t="s">
        <v>4695</v>
      </c>
      <c r="E1057" t="s">
        <v>4691</v>
      </c>
      <c r="G1057" t="s">
        <v>83</v>
      </c>
      <c r="H1057" t="s">
        <v>4696</v>
      </c>
    </row>
    <row r="1058" spans="1:8" x14ac:dyDescent="0.35">
      <c r="A1058" t="s">
        <v>4697</v>
      </c>
      <c r="B1058" t="str">
        <f>"9781589836556"</f>
        <v>9781589836556</v>
      </c>
      <c r="C1058" t="s">
        <v>4698</v>
      </c>
      <c r="D1058" t="s">
        <v>4699</v>
      </c>
      <c r="E1058" t="s">
        <v>4700</v>
      </c>
      <c r="F1058" t="s">
        <v>4701</v>
      </c>
      <c r="G1058" t="s">
        <v>186</v>
      </c>
      <c r="H1058" t="s">
        <v>4702</v>
      </c>
    </row>
    <row r="1059" spans="1:8" x14ac:dyDescent="0.35">
      <c r="A1059" t="s">
        <v>4703</v>
      </c>
      <c r="B1059" t="str">
        <f>"9781612492131"</f>
        <v>9781612492131</v>
      </c>
      <c r="C1059" t="s">
        <v>4704</v>
      </c>
      <c r="D1059" t="s">
        <v>4705</v>
      </c>
      <c r="E1059" t="s">
        <v>4706</v>
      </c>
      <c r="F1059" t="s">
        <v>4707</v>
      </c>
      <c r="G1059" t="s">
        <v>60</v>
      </c>
      <c r="H1059" t="s">
        <v>4708</v>
      </c>
    </row>
    <row r="1060" spans="1:8" x14ac:dyDescent="0.35">
      <c r="A1060" t="s">
        <v>4709</v>
      </c>
      <c r="B1060" t="str">
        <f>"9781612492452"</f>
        <v>9781612492452</v>
      </c>
      <c r="C1060" t="s">
        <v>4710</v>
      </c>
      <c r="D1060" t="s">
        <v>4711</v>
      </c>
      <c r="E1060" t="s">
        <v>4706</v>
      </c>
      <c r="F1060" t="s">
        <v>4707</v>
      </c>
      <c r="G1060" t="s">
        <v>60</v>
      </c>
      <c r="H1060" t="s">
        <v>4712</v>
      </c>
    </row>
    <row r="1061" spans="1:8" x14ac:dyDescent="0.35">
      <c r="A1061" t="s">
        <v>4713</v>
      </c>
      <c r="B1061" t="str">
        <f>"9781612777535"</f>
        <v>9781612777535</v>
      </c>
      <c r="C1061" t="s">
        <v>4714</v>
      </c>
      <c r="D1061" t="s">
        <v>4715</v>
      </c>
      <c r="E1061" t="s">
        <v>4716</v>
      </c>
      <c r="G1061" t="s">
        <v>268</v>
      </c>
      <c r="H1061" t="s">
        <v>4717</v>
      </c>
    </row>
    <row r="1062" spans="1:8" x14ac:dyDescent="0.35">
      <c r="A1062" t="s">
        <v>4718</v>
      </c>
      <c r="B1062" t="str">
        <f>"9781612492872"</f>
        <v>9781612492872</v>
      </c>
      <c r="C1062" t="s">
        <v>4719</v>
      </c>
      <c r="D1062" t="s">
        <v>4720</v>
      </c>
      <c r="E1062" t="s">
        <v>4706</v>
      </c>
      <c r="F1062" t="s">
        <v>4707</v>
      </c>
      <c r="G1062" t="s">
        <v>60</v>
      </c>
      <c r="H1062" t="s">
        <v>4721</v>
      </c>
    </row>
    <row r="1063" spans="1:8" x14ac:dyDescent="0.35">
      <c r="A1063" t="s">
        <v>4722</v>
      </c>
      <c r="B1063" t="str">
        <f>"9781612493473"</f>
        <v>9781612493473</v>
      </c>
      <c r="C1063" t="s">
        <v>4723</v>
      </c>
      <c r="D1063" t="s">
        <v>4724</v>
      </c>
      <c r="E1063" t="s">
        <v>4706</v>
      </c>
      <c r="F1063" t="s">
        <v>4707</v>
      </c>
      <c r="G1063" t="s">
        <v>60</v>
      </c>
      <c r="H1063" t="s">
        <v>4725</v>
      </c>
    </row>
    <row r="1064" spans="1:8" x14ac:dyDescent="0.35">
      <c r="A1064" t="s">
        <v>4726</v>
      </c>
      <c r="B1064" t="str">
        <f>"9780813216591"</f>
        <v>9780813216591</v>
      </c>
      <c r="C1064" t="s">
        <v>4727</v>
      </c>
      <c r="D1064" t="s">
        <v>4728</v>
      </c>
      <c r="E1064" t="s">
        <v>4729</v>
      </c>
      <c r="G1064" t="s">
        <v>60</v>
      </c>
      <c r="H1064" t="s">
        <v>4730</v>
      </c>
    </row>
    <row r="1065" spans="1:8" x14ac:dyDescent="0.35">
      <c r="A1065" t="s">
        <v>4731</v>
      </c>
      <c r="B1065" t="str">
        <f>"9780876094426"</f>
        <v>9780876094426</v>
      </c>
      <c r="C1065" t="s">
        <v>4732</v>
      </c>
      <c r="D1065" t="s">
        <v>4733</v>
      </c>
      <c r="E1065" t="s">
        <v>4734</v>
      </c>
      <c r="G1065" t="s">
        <v>39</v>
      </c>
      <c r="H1065" t="s">
        <v>4735</v>
      </c>
    </row>
    <row r="1066" spans="1:8" x14ac:dyDescent="0.35">
      <c r="A1066" t="s">
        <v>4736</v>
      </c>
      <c r="B1066" t="str">
        <f>"9780801462245"</f>
        <v>9780801462245</v>
      </c>
      <c r="C1066" t="s">
        <v>4737</v>
      </c>
      <c r="D1066" t="s">
        <v>4738</v>
      </c>
      <c r="E1066" t="s">
        <v>4739</v>
      </c>
      <c r="G1066" t="s">
        <v>305</v>
      </c>
      <c r="H1066" t="s">
        <v>4740</v>
      </c>
    </row>
    <row r="1067" spans="1:8" x14ac:dyDescent="0.35">
      <c r="A1067" t="s">
        <v>4741</v>
      </c>
      <c r="B1067" t="str">
        <f>"9780801460579"</f>
        <v>9780801460579</v>
      </c>
      <c r="C1067" t="s">
        <v>4742</v>
      </c>
      <c r="D1067" t="s">
        <v>4743</v>
      </c>
      <c r="E1067" t="s">
        <v>4739</v>
      </c>
      <c r="G1067" t="s">
        <v>376</v>
      </c>
      <c r="H1067" t="s">
        <v>4744</v>
      </c>
    </row>
    <row r="1068" spans="1:8" x14ac:dyDescent="0.35">
      <c r="A1068" t="s">
        <v>4745</v>
      </c>
      <c r="B1068" t="str">
        <f>"9780801461040"</f>
        <v>9780801461040</v>
      </c>
      <c r="C1068" t="s">
        <v>4746</v>
      </c>
      <c r="D1068" t="s">
        <v>4747</v>
      </c>
      <c r="E1068" t="s">
        <v>4739</v>
      </c>
      <c r="G1068" t="s">
        <v>44</v>
      </c>
      <c r="H1068" t="s">
        <v>4748</v>
      </c>
    </row>
    <row r="1069" spans="1:8" x14ac:dyDescent="0.35">
      <c r="A1069" t="s">
        <v>4749</v>
      </c>
      <c r="B1069" t="str">
        <f>"9780801466250"</f>
        <v>9780801466250</v>
      </c>
      <c r="C1069" t="s">
        <v>4750</v>
      </c>
      <c r="D1069" t="s">
        <v>4751</v>
      </c>
      <c r="E1069" t="s">
        <v>4739</v>
      </c>
      <c r="G1069" t="s">
        <v>60</v>
      </c>
      <c r="H1069" t="s">
        <v>4752</v>
      </c>
    </row>
    <row r="1070" spans="1:8" x14ac:dyDescent="0.35">
      <c r="A1070" t="s">
        <v>4753</v>
      </c>
      <c r="B1070" t="str">
        <f>"9780801465772"</f>
        <v>9780801465772</v>
      </c>
      <c r="C1070" t="s">
        <v>4754</v>
      </c>
      <c r="D1070" t="s">
        <v>4755</v>
      </c>
      <c r="E1070" t="s">
        <v>4739</v>
      </c>
      <c r="G1070" t="s">
        <v>17</v>
      </c>
      <c r="H1070" t="s">
        <v>4756</v>
      </c>
    </row>
    <row r="1071" spans="1:8" x14ac:dyDescent="0.35">
      <c r="A1071" t="s">
        <v>4757</v>
      </c>
      <c r="B1071" t="str">
        <f>"9780801468056"</f>
        <v>9780801468056</v>
      </c>
      <c r="C1071" t="s">
        <v>4758</v>
      </c>
      <c r="D1071" t="s">
        <v>4759</v>
      </c>
      <c r="E1071" t="s">
        <v>4739</v>
      </c>
      <c r="G1071" t="s">
        <v>17</v>
      </c>
      <c r="H1071" t="s">
        <v>4760</v>
      </c>
    </row>
    <row r="1072" spans="1:8" x14ac:dyDescent="0.35">
      <c r="A1072" t="s">
        <v>4761</v>
      </c>
      <c r="B1072" t="str">
        <f>"9780801470455"</f>
        <v>9780801470455</v>
      </c>
      <c r="C1072" t="s">
        <v>4762</v>
      </c>
      <c r="D1072" t="s">
        <v>4763</v>
      </c>
      <c r="E1072" t="s">
        <v>4739</v>
      </c>
      <c r="F1072" t="s">
        <v>4764</v>
      </c>
      <c r="G1072" t="s">
        <v>44</v>
      </c>
      <c r="H1072" t="s">
        <v>4765</v>
      </c>
    </row>
    <row r="1073" spans="1:8" x14ac:dyDescent="0.35">
      <c r="A1073" t="s">
        <v>4766</v>
      </c>
      <c r="B1073" t="str">
        <f>"9780801455001"</f>
        <v>9780801455001</v>
      </c>
      <c r="C1073" t="s">
        <v>4767</v>
      </c>
      <c r="D1073" t="s">
        <v>4768</v>
      </c>
      <c r="E1073" t="s">
        <v>4739</v>
      </c>
      <c r="F1073" t="s">
        <v>4769</v>
      </c>
      <c r="G1073" t="s">
        <v>60</v>
      </c>
      <c r="H1073" t="s">
        <v>4770</v>
      </c>
    </row>
    <row r="1074" spans="1:8" x14ac:dyDescent="0.35">
      <c r="A1074" t="s">
        <v>4771</v>
      </c>
      <c r="B1074" t="str">
        <f>"9780801455124"</f>
        <v>9780801455124</v>
      </c>
      <c r="C1074" t="s">
        <v>4772</v>
      </c>
      <c r="D1074" t="s">
        <v>4773</v>
      </c>
      <c r="E1074" t="s">
        <v>4739</v>
      </c>
      <c r="G1074" t="s">
        <v>376</v>
      </c>
      <c r="H1074" t="s">
        <v>4774</v>
      </c>
    </row>
    <row r="1075" spans="1:8" x14ac:dyDescent="0.35">
      <c r="A1075" t="s">
        <v>4775</v>
      </c>
      <c r="B1075" t="str">
        <f>"9780823233571"</f>
        <v>9780823233571</v>
      </c>
      <c r="C1075" t="s">
        <v>4776</v>
      </c>
      <c r="D1075" t="s">
        <v>4777</v>
      </c>
      <c r="E1075" t="s">
        <v>162</v>
      </c>
      <c r="F1075" t="s">
        <v>4778</v>
      </c>
      <c r="G1075" t="s">
        <v>60</v>
      </c>
      <c r="H1075" t="s">
        <v>4779</v>
      </c>
    </row>
    <row r="1076" spans="1:8" x14ac:dyDescent="0.35">
      <c r="A1076" t="s">
        <v>4780</v>
      </c>
      <c r="B1076" t="str">
        <f>"9780823246618"</f>
        <v>9780823246618</v>
      </c>
      <c r="C1076" t="s">
        <v>4781</v>
      </c>
      <c r="D1076" t="s">
        <v>4782</v>
      </c>
      <c r="E1076" t="s">
        <v>162</v>
      </c>
      <c r="G1076" t="s">
        <v>60</v>
      </c>
      <c r="H1076" t="s">
        <v>4783</v>
      </c>
    </row>
    <row r="1077" spans="1:8" x14ac:dyDescent="0.35">
      <c r="A1077" t="s">
        <v>4784</v>
      </c>
      <c r="B1077" t="str">
        <f>"9780823269105"</f>
        <v>9780823269105</v>
      </c>
      <c r="C1077" t="s">
        <v>4785</v>
      </c>
      <c r="D1077" t="s">
        <v>4786</v>
      </c>
      <c r="E1077" t="s">
        <v>4787</v>
      </c>
      <c r="F1077" t="s">
        <v>4788</v>
      </c>
      <c r="G1077" t="s">
        <v>3510</v>
      </c>
      <c r="H1077" t="s">
        <v>3693</v>
      </c>
    </row>
    <row r="1078" spans="1:8" x14ac:dyDescent="0.35">
      <c r="A1078" t="s">
        <v>4789</v>
      </c>
      <c r="B1078" t="str">
        <f>"9780823249343"</f>
        <v>9780823249343</v>
      </c>
      <c r="C1078" t="s">
        <v>4790</v>
      </c>
      <c r="D1078" t="s">
        <v>4791</v>
      </c>
      <c r="E1078" t="s">
        <v>4787</v>
      </c>
      <c r="F1078" t="s">
        <v>4792</v>
      </c>
      <c r="G1078" t="s">
        <v>186</v>
      </c>
      <c r="H1078" t="s">
        <v>4793</v>
      </c>
    </row>
    <row r="1079" spans="1:8" x14ac:dyDescent="0.35">
      <c r="A1079" t="s">
        <v>4794</v>
      </c>
      <c r="B1079" t="str">
        <f>"9780823247776"</f>
        <v>9780823247776</v>
      </c>
      <c r="C1079" t="s">
        <v>4795</v>
      </c>
      <c r="D1079" t="s">
        <v>4796</v>
      </c>
      <c r="E1079" t="s">
        <v>4787</v>
      </c>
      <c r="G1079" t="s">
        <v>60</v>
      </c>
      <c r="H1079" t="s">
        <v>4797</v>
      </c>
    </row>
    <row r="1080" spans="1:8" x14ac:dyDescent="0.35">
      <c r="A1080" t="s">
        <v>4798</v>
      </c>
      <c r="B1080" t="str">
        <f>"9780823257119"</f>
        <v>9780823257119</v>
      </c>
      <c r="C1080" t="s">
        <v>4799</v>
      </c>
      <c r="D1080" t="s">
        <v>4800</v>
      </c>
      <c r="E1080" t="s">
        <v>162</v>
      </c>
      <c r="F1080" t="s">
        <v>4801</v>
      </c>
      <c r="G1080" t="s">
        <v>60</v>
      </c>
      <c r="H1080" t="s">
        <v>4802</v>
      </c>
    </row>
    <row r="1081" spans="1:8" x14ac:dyDescent="0.35">
      <c r="A1081" t="s">
        <v>4803</v>
      </c>
      <c r="B1081" t="str">
        <f>"9781552387719"</f>
        <v>9781552387719</v>
      </c>
      <c r="C1081" t="s">
        <v>4804</v>
      </c>
      <c r="D1081" t="s">
        <v>4805</v>
      </c>
      <c r="E1081" t="s">
        <v>4806</v>
      </c>
      <c r="F1081" t="s">
        <v>4807</v>
      </c>
      <c r="G1081" t="s">
        <v>60</v>
      </c>
      <c r="H1081" t="s">
        <v>4808</v>
      </c>
    </row>
    <row r="1082" spans="1:8" x14ac:dyDescent="0.35">
      <c r="A1082" t="s">
        <v>4809</v>
      </c>
      <c r="B1082" t="str">
        <f>"9780674074330"</f>
        <v>9780674074330</v>
      </c>
      <c r="C1082" t="s">
        <v>4810</v>
      </c>
      <c r="D1082" t="s">
        <v>4811</v>
      </c>
      <c r="E1082" t="s">
        <v>4812</v>
      </c>
      <c r="F1082" t="s">
        <v>4813</v>
      </c>
      <c r="G1082" t="s">
        <v>17</v>
      </c>
      <c r="H1082" t="s">
        <v>4814</v>
      </c>
    </row>
    <row r="1083" spans="1:8" x14ac:dyDescent="0.35">
      <c r="A1083" t="s">
        <v>4815</v>
      </c>
      <c r="B1083" t="str">
        <f>"9780674726185"</f>
        <v>9780674726185</v>
      </c>
      <c r="C1083" t="s">
        <v>4816</v>
      </c>
      <c r="D1083" t="s">
        <v>4817</v>
      </c>
      <c r="E1083" t="s">
        <v>4812</v>
      </c>
      <c r="G1083" t="s">
        <v>44</v>
      </c>
      <c r="H1083" t="s">
        <v>4818</v>
      </c>
    </row>
    <row r="1084" spans="1:8" x14ac:dyDescent="0.35">
      <c r="A1084" t="s">
        <v>4819</v>
      </c>
      <c r="B1084" t="str">
        <f>"9781847600639"</f>
        <v>9781847600639</v>
      </c>
      <c r="C1084" t="s">
        <v>4820</v>
      </c>
      <c r="D1084" t="s">
        <v>4821</v>
      </c>
      <c r="E1084" t="s">
        <v>4822</v>
      </c>
      <c r="G1084" t="s">
        <v>44</v>
      </c>
      <c r="H1084" t="s">
        <v>4823</v>
      </c>
    </row>
    <row r="1085" spans="1:8" x14ac:dyDescent="0.35">
      <c r="A1085" t="s">
        <v>4824</v>
      </c>
      <c r="B1085" t="str">
        <f>"9781617354229"</f>
        <v>9781617354229</v>
      </c>
      <c r="C1085" t="s">
        <v>4825</v>
      </c>
      <c r="D1085" t="s">
        <v>4826</v>
      </c>
      <c r="E1085" t="s">
        <v>4827</v>
      </c>
      <c r="F1085" t="s">
        <v>4828</v>
      </c>
      <c r="G1085" t="s">
        <v>2042</v>
      </c>
      <c r="H1085" t="s">
        <v>4829</v>
      </c>
    </row>
    <row r="1086" spans="1:8" x14ac:dyDescent="0.35">
      <c r="A1086" t="s">
        <v>4830</v>
      </c>
      <c r="B1086" t="str">
        <f>"9781617356827"</f>
        <v>9781617356827</v>
      </c>
      <c r="C1086" t="s">
        <v>4831</v>
      </c>
      <c r="D1086" t="s">
        <v>4832</v>
      </c>
      <c r="E1086" t="s">
        <v>4827</v>
      </c>
      <c r="F1086" t="s">
        <v>4833</v>
      </c>
      <c r="G1086" t="s">
        <v>44</v>
      </c>
      <c r="H1086" t="s">
        <v>4834</v>
      </c>
    </row>
    <row r="1087" spans="1:8" x14ac:dyDescent="0.35">
      <c r="A1087" t="s">
        <v>4835</v>
      </c>
      <c r="B1087" t="str">
        <f>"9781597268578"</f>
        <v>9781597268578</v>
      </c>
      <c r="C1087" t="s">
        <v>4836</v>
      </c>
      <c r="D1087" t="s">
        <v>4837</v>
      </c>
      <c r="E1087" t="s">
        <v>4838</v>
      </c>
      <c r="G1087" t="s">
        <v>4839</v>
      </c>
      <c r="H1087" t="s">
        <v>4840</v>
      </c>
    </row>
    <row r="1088" spans="1:8" x14ac:dyDescent="0.35">
      <c r="A1088" t="s">
        <v>4841</v>
      </c>
      <c r="B1088" t="str">
        <f>"9781610911771"</f>
        <v>9781610911771</v>
      </c>
      <c r="C1088" t="s">
        <v>4842</v>
      </c>
      <c r="D1088" t="s">
        <v>4843</v>
      </c>
      <c r="E1088" t="s">
        <v>4838</v>
      </c>
      <c r="G1088" t="s">
        <v>4266</v>
      </c>
      <c r="H1088" t="s">
        <v>4844</v>
      </c>
    </row>
    <row r="1089" spans="1:8" x14ac:dyDescent="0.35">
      <c r="A1089" t="s">
        <v>4845</v>
      </c>
      <c r="B1089" t="str">
        <f>"9780801888939"</f>
        <v>9780801888939</v>
      </c>
      <c r="C1089" t="s">
        <v>4846</v>
      </c>
      <c r="D1089" t="s">
        <v>4847</v>
      </c>
      <c r="E1089" t="s">
        <v>4848</v>
      </c>
      <c r="G1089" t="s">
        <v>186</v>
      </c>
      <c r="H1089" t="s">
        <v>4849</v>
      </c>
    </row>
    <row r="1090" spans="1:8" x14ac:dyDescent="0.35">
      <c r="A1090" t="s">
        <v>4850</v>
      </c>
      <c r="B1090" t="str">
        <f>"9780801896361"</f>
        <v>9780801896361</v>
      </c>
      <c r="C1090" t="s">
        <v>4851</v>
      </c>
      <c r="D1090" t="s">
        <v>4852</v>
      </c>
      <c r="E1090" t="s">
        <v>4848</v>
      </c>
      <c r="F1090" t="s">
        <v>4853</v>
      </c>
      <c r="G1090" t="s">
        <v>17</v>
      </c>
      <c r="H1090" t="s">
        <v>4854</v>
      </c>
    </row>
    <row r="1091" spans="1:8" x14ac:dyDescent="0.35">
      <c r="A1091" t="s">
        <v>4855</v>
      </c>
      <c r="B1091" t="str">
        <f>"9781421413624"</f>
        <v>9781421413624</v>
      </c>
      <c r="C1091" t="s">
        <v>4856</v>
      </c>
      <c r="D1091" t="s">
        <v>4857</v>
      </c>
      <c r="E1091" t="s">
        <v>4848</v>
      </c>
      <c r="G1091" t="s">
        <v>44</v>
      </c>
      <c r="H1091" t="s">
        <v>4858</v>
      </c>
    </row>
    <row r="1092" spans="1:8" x14ac:dyDescent="0.35">
      <c r="A1092" t="s">
        <v>4859</v>
      </c>
      <c r="B1092" t="str">
        <f>"9781421413464"</f>
        <v>9781421413464</v>
      </c>
      <c r="C1092" t="s">
        <v>4860</v>
      </c>
      <c r="D1092" t="s">
        <v>4861</v>
      </c>
      <c r="E1092" t="s">
        <v>4848</v>
      </c>
      <c r="F1092" t="s">
        <v>4862</v>
      </c>
      <c r="G1092" t="s">
        <v>60</v>
      </c>
      <c r="H1092" t="s">
        <v>4863</v>
      </c>
    </row>
    <row r="1093" spans="1:8" x14ac:dyDescent="0.35">
      <c r="A1093" t="s">
        <v>4864</v>
      </c>
      <c r="B1093" t="str">
        <f>"9781421414256"</f>
        <v>9781421414256</v>
      </c>
      <c r="C1093" t="s">
        <v>4865</v>
      </c>
      <c r="D1093" t="s">
        <v>4866</v>
      </c>
      <c r="E1093" t="s">
        <v>4848</v>
      </c>
      <c r="F1093" t="s">
        <v>4867</v>
      </c>
      <c r="G1093" t="s">
        <v>4868</v>
      </c>
      <c r="H1093" t="s">
        <v>4869</v>
      </c>
    </row>
    <row r="1094" spans="1:8" x14ac:dyDescent="0.35">
      <c r="A1094" t="s">
        <v>4870</v>
      </c>
      <c r="B1094" t="str">
        <f>"9781421415550"</f>
        <v>9781421415550</v>
      </c>
      <c r="C1094" t="s">
        <v>4871</v>
      </c>
      <c r="D1094" t="s">
        <v>4872</v>
      </c>
      <c r="E1094" t="s">
        <v>4848</v>
      </c>
      <c r="G1094" t="s">
        <v>305</v>
      </c>
      <c r="H1094" t="s">
        <v>4873</v>
      </c>
    </row>
    <row r="1095" spans="1:8" x14ac:dyDescent="0.35">
      <c r="A1095" t="s">
        <v>4874</v>
      </c>
      <c r="B1095" t="str">
        <f>"9781614879039"</f>
        <v>9781614879039</v>
      </c>
      <c r="C1095" t="s">
        <v>4875</v>
      </c>
      <c r="D1095" t="s">
        <v>4876</v>
      </c>
      <c r="E1095" t="s">
        <v>4877</v>
      </c>
      <c r="G1095" t="s">
        <v>305</v>
      </c>
      <c r="H1095" t="s">
        <v>4878</v>
      </c>
    </row>
    <row r="1096" spans="1:8" x14ac:dyDescent="0.35">
      <c r="A1096" t="s">
        <v>4879</v>
      </c>
      <c r="B1096" t="str">
        <f>"9781614879060"</f>
        <v>9781614879060</v>
      </c>
      <c r="C1096" t="s">
        <v>4880</v>
      </c>
      <c r="D1096" t="s">
        <v>4881</v>
      </c>
      <c r="E1096" t="s">
        <v>4877</v>
      </c>
      <c r="G1096" t="s">
        <v>305</v>
      </c>
      <c r="H1096" t="s">
        <v>4882</v>
      </c>
    </row>
    <row r="1097" spans="1:8" x14ac:dyDescent="0.35">
      <c r="A1097" t="s">
        <v>4883</v>
      </c>
      <c r="B1097" t="str">
        <f>"9781936117390"</f>
        <v>9781936117390</v>
      </c>
      <c r="C1097" t="s">
        <v>4884</v>
      </c>
      <c r="D1097" t="s">
        <v>4885</v>
      </c>
      <c r="E1097" t="s">
        <v>4886</v>
      </c>
      <c r="G1097" t="s">
        <v>112</v>
      </c>
      <c r="H1097" t="s">
        <v>4887</v>
      </c>
    </row>
    <row r="1098" spans="1:8" x14ac:dyDescent="0.35">
      <c r="A1098" t="s">
        <v>4888</v>
      </c>
      <c r="B1098" t="str">
        <f>"9781626371293"</f>
        <v>9781626371293</v>
      </c>
      <c r="C1098" t="s">
        <v>4889</v>
      </c>
      <c r="D1098" t="s">
        <v>4890</v>
      </c>
      <c r="E1098" t="s">
        <v>4891</v>
      </c>
      <c r="G1098" t="s">
        <v>4892</v>
      </c>
      <c r="H1098" t="s">
        <v>4893</v>
      </c>
    </row>
    <row r="1099" spans="1:8" x14ac:dyDescent="0.35">
      <c r="A1099" t="s">
        <v>4894</v>
      </c>
      <c r="B1099" t="str">
        <f>"9780773596610"</f>
        <v>9780773596610</v>
      </c>
      <c r="C1099" t="s">
        <v>4895</v>
      </c>
      <c r="D1099" t="s">
        <v>4896</v>
      </c>
      <c r="E1099" t="s">
        <v>4897</v>
      </c>
      <c r="G1099" t="s">
        <v>2959</v>
      </c>
      <c r="H1099" t="s">
        <v>4898</v>
      </c>
    </row>
    <row r="1100" spans="1:8" x14ac:dyDescent="0.35">
      <c r="A1100" t="s">
        <v>4899</v>
      </c>
      <c r="B1100" t="str">
        <f>"9781609172138"</f>
        <v>9781609172138</v>
      </c>
      <c r="C1100" t="s">
        <v>4900</v>
      </c>
      <c r="D1100" t="s">
        <v>4901</v>
      </c>
      <c r="E1100" t="s">
        <v>4902</v>
      </c>
      <c r="F1100" t="s">
        <v>4903</v>
      </c>
      <c r="G1100" t="s">
        <v>55</v>
      </c>
      <c r="H1100" t="s">
        <v>4904</v>
      </c>
    </row>
    <row r="1101" spans="1:8" x14ac:dyDescent="0.35">
      <c r="A1101" t="s">
        <v>4905</v>
      </c>
      <c r="B1101" t="str">
        <f>"9781609171322"</f>
        <v>9781609171322</v>
      </c>
      <c r="C1101" t="s">
        <v>4906</v>
      </c>
      <c r="D1101" t="s">
        <v>4907</v>
      </c>
      <c r="E1101" t="s">
        <v>4902</v>
      </c>
      <c r="G1101" t="s">
        <v>157</v>
      </c>
      <c r="H1101" t="s">
        <v>4908</v>
      </c>
    </row>
    <row r="1102" spans="1:8" x14ac:dyDescent="0.35">
      <c r="A1102" t="s">
        <v>4909</v>
      </c>
      <c r="B1102" t="str">
        <f>"9781609173210"</f>
        <v>9781609173210</v>
      </c>
      <c r="C1102" t="s">
        <v>4910</v>
      </c>
      <c r="D1102" t="s">
        <v>4911</v>
      </c>
      <c r="E1102" t="s">
        <v>4902</v>
      </c>
      <c r="F1102" t="s">
        <v>4903</v>
      </c>
      <c r="G1102" t="s">
        <v>55</v>
      </c>
      <c r="H1102" t="s">
        <v>4912</v>
      </c>
    </row>
    <row r="1103" spans="1:8" x14ac:dyDescent="0.35">
      <c r="A1103" t="s">
        <v>4913</v>
      </c>
      <c r="B1103" t="str">
        <f>"9781609173753"</f>
        <v>9781609173753</v>
      </c>
      <c r="C1103" t="s">
        <v>4914</v>
      </c>
      <c r="D1103" t="s">
        <v>4915</v>
      </c>
      <c r="E1103" t="s">
        <v>4902</v>
      </c>
      <c r="F1103" t="s">
        <v>4903</v>
      </c>
      <c r="G1103" t="s">
        <v>44</v>
      </c>
      <c r="H1103" t="s">
        <v>4916</v>
      </c>
    </row>
    <row r="1104" spans="1:8" x14ac:dyDescent="0.35">
      <c r="A1104" t="s">
        <v>4917</v>
      </c>
      <c r="B1104" t="str">
        <f>"9781609174101"</f>
        <v>9781609174101</v>
      </c>
      <c r="C1104" t="s">
        <v>4918</v>
      </c>
      <c r="D1104" t="s">
        <v>4919</v>
      </c>
      <c r="E1104" t="s">
        <v>4902</v>
      </c>
      <c r="G1104" t="s">
        <v>139</v>
      </c>
      <c r="H1104" t="s">
        <v>4920</v>
      </c>
    </row>
    <row r="1105" spans="1:8" x14ac:dyDescent="0.35">
      <c r="A1105" t="s">
        <v>4921</v>
      </c>
      <c r="B1105" t="str">
        <f>"9781609174187"</f>
        <v>9781609174187</v>
      </c>
      <c r="C1105" t="s">
        <v>4922</v>
      </c>
      <c r="D1105" t="s">
        <v>4923</v>
      </c>
      <c r="E1105" t="s">
        <v>4902</v>
      </c>
      <c r="F1105" t="s">
        <v>4903</v>
      </c>
      <c r="G1105" t="s">
        <v>55</v>
      </c>
      <c r="H1105" t="s">
        <v>4924</v>
      </c>
    </row>
    <row r="1106" spans="1:8" x14ac:dyDescent="0.35">
      <c r="A1106" t="s">
        <v>4925</v>
      </c>
      <c r="B1106" t="str">
        <f>"9781609174484"</f>
        <v>9781609174484</v>
      </c>
      <c r="C1106" t="s">
        <v>4926</v>
      </c>
      <c r="D1106" t="s">
        <v>4927</v>
      </c>
      <c r="E1106" t="s">
        <v>4902</v>
      </c>
      <c r="F1106" t="s">
        <v>4903</v>
      </c>
      <c r="G1106" t="s">
        <v>305</v>
      </c>
      <c r="H1106" t="s">
        <v>4928</v>
      </c>
    </row>
    <row r="1107" spans="1:8" x14ac:dyDescent="0.35">
      <c r="A1107" t="s">
        <v>4929</v>
      </c>
      <c r="B1107" t="str">
        <f>"9780262273398"</f>
        <v>9780262273398</v>
      </c>
      <c r="C1107" t="s">
        <v>4930</v>
      </c>
      <c r="D1107" t="s">
        <v>4931</v>
      </c>
      <c r="E1107" t="s">
        <v>4932</v>
      </c>
      <c r="F1107" t="s">
        <v>4933</v>
      </c>
      <c r="G1107" t="s">
        <v>4934</v>
      </c>
      <c r="H1107" t="s">
        <v>4935</v>
      </c>
    </row>
    <row r="1108" spans="1:8" x14ac:dyDescent="0.35">
      <c r="A1108" t="s">
        <v>4936</v>
      </c>
      <c r="B1108" t="str">
        <f>"9780262269025"</f>
        <v>9780262269025</v>
      </c>
      <c r="C1108" t="s">
        <v>4937</v>
      </c>
      <c r="D1108" t="s">
        <v>4938</v>
      </c>
      <c r="E1108" t="s">
        <v>4932</v>
      </c>
      <c r="F1108" t="s">
        <v>4939</v>
      </c>
      <c r="G1108" t="s">
        <v>376</v>
      </c>
      <c r="H1108" t="s">
        <v>4940</v>
      </c>
    </row>
    <row r="1109" spans="1:8" x14ac:dyDescent="0.35">
      <c r="A1109" t="s">
        <v>4941</v>
      </c>
      <c r="B1109" t="str">
        <f>"9780262279109"</f>
        <v>9780262279109</v>
      </c>
      <c r="C1109" t="s">
        <v>4942</v>
      </c>
      <c r="D1109" t="s">
        <v>4943</v>
      </c>
      <c r="E1109" t="s">
        <v>4932</v>
      </c>
      <c r="F1109" t="s">
        <v>4939</v>
      </c>
      <c r="G1109" t="s">
        <v>4944</v>
      </c>
      <c r="H1109" t="s">
        <v>4945</v>
      </c>
    </row>
    <row r="1110" spans="1:8" x14ac:dyDescent="0.35">
      <c r="A1110" t="s">
        <v>4946</v>
      </c>
      <c r="B1110" t="str">
        <f>"9780262289405"</f>
        <v>9780262289405</v>
      </c>
      <c r="C1110" t="s">
        <v>4947</v>
      </c>
      <c r="D1110" t="s">
        <v>4861</v>
      </c>
      <c r="E1110" t="s">
        <v>4932</v>
      </c>
      <c r="F1110" t="s">
        <v>4939</v>
      </c>
      <c r="G1110" t="s">
        <v>50</v>
      </c>
      <c r="H1110" t="s">
        <v>4948</v>
      </c>
    </row>
    <row r="1111" spans="1:8" x14ac:dyDescent="0.35">
      <c r="A1111" t="s">
        <v>4949</v>
      </c>
      <c r="B1111" t="str">
        <f>"9781846381089"</f>
        <v>9781846381089</v>
      </c>
      <c r="C1111" t="s">
        <v>4950</v>
      </c>
      <c r="D1111" t="s">
        <v>4951</v>
      </c>
      <c r="E1111" t="s">
        <v>4952</v>
      </c>
      <c r="F1111" t="s">
        <v>4953</v>
      </c>
      <c r="G1111" t="s">
        <v>139</v>
      </c>
      <c r="H1111" t="s">
        <v>4954</v>
      </c>
    </row>
    <row r="1112" spans="1:8" x14ac:dyDescent="0.35">
      <c r="A1112" t="s">
        <v>4955</v>
      </c>
      <c r="B1112" t="str">
        <f>"9780262317412"</f>
        <v>9780262317412</v>
      </c>
      <c r="C1112" t="s">
        <v>4956</v>
      </c>
      <c r="D1112" t="s">
        <v>4957</v>
      </c>
      <c r="E1112" t="s">
        <v>4932</v>
      </c>
      <c r="F1112" t="s">
        <v>4939</v>
      </c>
      <c r="G1112" t="s">
        <v>139</v>
      </c>
      <c r="H1112" t="s">
        <v>4958</v>
      </c>
    </row>
    <row r="1113" spans="1:8" x14ac:dyDescent="0.35">
      <c r="A1113" t="s">
        <v>4959</v>
      </c>
      <c r="B1113" t="str">
        <f>"9780309550871"</f>
        <v>9780309550871</v>
      </c>
      <c r="C1113" t="s">
        <v>4960</v>
      </c>
      <c r="D1113" t="s">
        <v>4961</v>
      </c>
      <c r="E1113" t="s">
        <v>4962</v>
      </c>
      <c r="G1113" t="s">
        <v>55</v>
      </c>
      <c r="H1113" t="s">
        <v>4963</v>
      </c>
    </row>
    <row r="1114" spans="1:8" x14ac:dyDescent="0.35">
      <c r="A1114" t="s">
        <v>4964</v>
      </c>
      <c r="B1114" t="str">
        <f>"9780309654784"</f>
        <v>9780309654784</v>
      </c>
      <c r="C1114" t="s">
        <v>4965</v>
      </c>
      <c r="D1114" t="s">
        <v>4966</v>
      </c>
      <c r="E1114" t="s">
        <v>4962</v>
      </c>
      <c r="G1114" t="s">
        <v>55</v>
      </c>
      <c r="H1114" t="s">
        <v>4967</v>
      </c>
    </row>
    <row r="1115" spans="1:8" x14ac:dyDescent="0.35">
      <c r="A1115" t="s">
        <v>4968</v>
      </c>
      <c r="B1115" t="str">
        <f>"9780309264235"</f>
        <v>9780309264235</v>
      </c>
      <c r="C1115" t="s">
        <v>4969</v>
      </c>
      <c r="D1115" t="s">
        <v>4970</v>
      </c>
      <c r="E1115" t="s">
        <v>4962</v>
      </c>
      <c r="G1115" t="s">
        <v>305</v>
      </c>
      <c r="H1115" t="s">
        <v>4971</v>
      </c>
    </row>
    <row r="1116" spans="1:8" x14ac:dyDescent="0.35">
      <c r="A1116" t="s">
        <v>4972</v>
      </c>
      <c r="B1116" t="str">
        <f>"9781849644365"</f>
        <v>9781849644365</v>
      </c>
      <c r="C1116" t="s">
        <v>4973</v>
      </c>
      <c r="D1116" t="s">
        <v>4974</v>
      </c>
      <c r="E1116" t="s">
        <v>4975</v>
      </c>
      <c r="F1116" t="s">
        <v>4976</v>
      </c>
      <c r="G1116" t="s">
        <v>55</v>
      </c>
      <c r="H1116" t="s">
        <v>4977</v>
      </c>
    </row>
    <row r="1117" spans="1:8" x14ac:dyDescent="0.35">
      <c r="A1117" t="s">
        <v>4978</v>
      </c>
      <c r="B1117" t="str">
        <f>"9781849645614"</f>
        <v>9781849645614</v>
      </c>
      <c r="C1117" t="s">
        <v>4979</v>
      </c>
      <c r="D1117" t="s">
        <v>4980</v>
      </c>
      <c r="E1117" t="s">
        <v>4975</v>
      </c>
      <c r="G1117" t="s">
        <v>39</v>
      </c>
      <c r="H1117" t="s">
        <v>4981</v>
      </c>
    </row>
    <row r="1118" spans="1:8" x14ac:dyDescent="0.35">
      <c r="A1118" t="s">
        <v>4982</v>
      </c>
      <c r="B1118" t="str">
        <f>"9781849643726"</f>
        <v>9781849643726</v>
      </c>
      <c r="C1118" t="s">
        <v>4983</v>
      </c>
      <c r="D1118" t="s">
        <v>4984</v>
      </c>
      <c r="E1118" t="s">
        <v>4975</v>
      </c>
      <c r="F1118" t="s">
        <v>4976</v>
      </c>
      <c r="G1118" t="s">
        <v>28</v>
      </c>
      <c r="H1118" t="s">
        <v>4985</v>
      </c>
    </row>
    <row r="1119" spans="1:8" x14ac:dyDescent="0.35">
      <c r="A1119" t="s">
        <v>4986</v>
      </c>
      <c r="B1119" t="str">
        <f>"9781849645515"</f>
        <v>9781849645515</v>
      </c>
      <c r="C1119" t="s">
        <v>4987</v>
      </c>
      <c r="D1119" t="s">
        <v>4974</v>
      </c>
      <c r="E1119" t="s">
        <v>4975</v>
      </c>
      <c r="F1119" t="s">
        <v>4976</v>
      </c>
      <c r="G1119" t="s">
        <v>39</v>
      </c>
      <c r="H1119" t="s">
        <v>4988</v>
      </c>
    </row>
    <row r="1120" spans="1:8" x14ac:dyDescent="0.35">
      <c r="A1120" t="s">
        <v>4989</v>
      </c>
      <c r="B1120" t="str">
        <f>"9781849645591"</f>
        <v>9781849645591</v>
      </c>
      <c r="C1120" t="s">
        <v>4990</v>
      </c>
      <c r="D1120" t="s">
        <v>4991</v>
      </c>
      <c r="E1120" t="s">
        <v>4975</v>
      </c>
      <c r="G1120" t="s">
        <v>44</v>
      </c>
      <c r="H1120" t="s">
        <v>4992</v>
      </c>
    </row>
    <row r="1121" spans="1:8" x14ac:dyDescent="0.35">
      <c r="A1121" t="s">
        <v>4993</v>
      </c>
      <c r="B1121" t="str">
        <f>"9781849643030"</f>
        <v>9781849643030</v>
      </c>
      <c r="C1121" t="s">
        <v>4994</v>
      </c>
      <c r="D1121" t="s">
        <v>4995</v>
      </c>
      <c r="E1121" t="s">
        <v>4975</v>
      </c>
      <c r="G1121" t="s">
        <v>44</v>
      </c>
      <c r="H1121" t="s">
        <v>4996</v>
      </c>
    </row>
    <row r="1122" spans="1:8" x14ac:dyDescent="0.35">
      <c r="A1122" t="s">
        <v>4997</v>
      </c>
      <c r="B1122" t="str">
        <f>"9781849646628"</f>
        <v>9781849646628</v>
      </c>
      <c r="C1122" t="s">
        <v>4998</v>
      </c>
      <c r="D1122" t="s">
        <v>4999</v>
      </c>
      <c r="E1122" t="s">
        <v>4975</v>
      </c>
      <c r="G1122" t="s">
        <v>305</v>
      </c>
      <c r="H1122" t="s">
        <v>5000</v>
      </c>
    </row>
    <row r="1123" spans="1:8" x14ac:dyDescent="0.35">
      <c r="A1123" t="s">
        <v>5001</v>
      </c>
      <c r="B1123" t="str">
        <f>"9781849642927"</f>
        <v>9781849642927</v>
      </c>
      <c r="C1123" t="s">
        <v>5002</v>
      </c>
      <c r="D1123" t="s">
        <v>5003</v>
      </c>
      <c r="E1123" t="s">
        <v>4975</v>
      </c>
      <c r="G1123" t="s">
        <v>726</v>
      </c>
      <c r="H1123" t="s">
        <v>5004</v>
      </c>
    </row>
    <row r="1124" spans="1:8" x14ac:dyDescent="0.35">
      <c r="A1124" t="s">
        <v>5005</v>
      </c>
      <c r="B1124" t="str">
        <f>"9781849648127"</f>
        <v>9781849648127</v>
      </c>
      <c r="C1124" t="s">
        <v>5006</v>
      </c>
      <c r="D1124" t="s">
        <v>5007</v>
      </c>
      <c r="E1124" t="s">
        <v>4975</v>
      </c>
      <c r="F1124" t="s">
        <v>4976</v>
      </c>
      <c r="G1124" t="s">
        <v>39</v>
      </c>
      <c r="H1124" t="s">
        <v>5008</v>
      </c>
    </row>
    <row r="1125" spans="1:8" x14ac:dyDescent="0.35">
      <c r="A1125" t="s">
        <v>5009</v>
      </c>
      <c r="B1125" t="str">
        <f>"9781783710294"</f>
        <v>9781783710294</v>
      </c>
      <c r="C1125" t="s">
        <v>5010</v>
      </c>
      <c r="D1125" t="s">
        <v>5011</v>
      </c>
      <c r="E1125" t="s">
        <v>4975</v>
      </c>
      <c r="F1125" t="s">
        <v>5012</v>
      </c>
      <c r="G1125" t="s">
        <v>5013</v>
      </c>
      <c r="H1125" t="s">
        <v>5014</v>
      </c>
    </row>
    <row r="1126" spans="1:8" x14ac:dyDescent="0.35">
      <c r="A1126" t="s">
        <v>5015</v>
      </c>
      <c r="B1126" t="str">
        <f>"9781783710355"</f>
        <v>9781783710355</v>
      </c>
      <c r="C1126" t="s">
        <v>5016</v>
      </c>
      <c r="D1126" t="s">
        <v>5017</v>
      </c>
      <c r="E1126" t="s">
        <v>4975</v>
      </c>
      <c r="G1126" t="s">
        <v>376</v>
      </c>
      <c r="H1126" t="s">
        <v>5018</v>
      </c>
    </row>
    <row r="1127" spans="1:8" x14ac:dyDescent="0.35">
      <c r="A1127" t="s">
        <v>5019</v>
      </c>
      <c r="B1127" t="str">
        <f>"9781783712328"</f>
        <v>9781783712328</v>
      </c>
      <c r="C1127" t="s">
        <v>5020</v>
      </c>
      <c r="D1127" t="s">
        <v>5021</v>
      </c>
      <c r="E1127" t="s">
        <v>4975</v>
      </c>
      <c r="G1127" t="s">
        <v>334</v>
      </c>
      <c r="H1127" t="s">
        <v>5022</v>
      </c>
    </row>
    <row r="1128" spans="1:8" x14ac:dyDescent="0.35">
      <c r="A1128" t="s">
        <v>5023</v>
      </c>
      <c r="B1128" t="str">
        <f>"9781783712939"</f>
        <v>9781783712939</v>
      </c>
      <c r="C1128" t="s">
        <v>5024</v>
      </c>
      <c r="D1128" t="s">
        <v>5025</v>
      </c>
      <c r="E1128" t="s">
        <v>4975</v>
      </c>
      <c r="F1128" t="s">
        <v>5026</v>
      </c>
      <c r="G1128" t="s">
        <v>186</v>
      </c>
      <c r="H1128" t="s">
        <v>5027</v>
      </c>
    </row>
    <row r="1129" spans="1:8" x14ac:dyDescent="0.35">
      <c r="A1129" t="s">
        <v>5028</v>
      </c>
      <c r="B1129" t="str">
        <f>"9781568988085"</f>
        <v>9781568988085</v>
      </c>
      <c r="C1129" t="s">
        <v>5029</v>
      </c>
      <c r="D1129" t="s">
        <v>5030</v>
      </c>
      <c r="E1129" t="s">
        <v>5031</v>
      </c>
      <c r="G1129" t="s">
        <v>55</v>
      </c>
      <c r="H1129" t="s">
        <v>5032</v>
      </c>
    </row>
    <row r="1130" spans="1:8" x14ac:dyDescent="0.35">
      <c r="A1130" t="s">
        <v>5033</v>
      </c>
      <c r="B1130" t="str">
        <f>"9781616893248"</f>
        <v>9781616893248</v>
      </c>
      <c r="C1130" t="s">
        <v>5034</v>
      </c>
      <c r="D1130" t="s">
        <v>5035</v>
      </c>
      <c r="E1130" t="s">
        <v>5031</v>
      </c>
      <c r="G1130" t="s">
        <v>4266</v>
      </c>
      <c r="H1130" t="s">
        <v>5036</v>
      </c>
    </row>
    <row r="1131" spans="1:8" x14ac:dyDescent="0.35">
      <c r="A1131" t="s">
        <v>5037</v>
      </c>
      <c r="B1131" t="str">
        <f>"9781438440040"</f>
        <v>9781438440040</v>
      </c>
      <c r="C1131" t="s">
        <v>5038</v>
      </c>
      <c r="D1131" t="s">
        <v>5039</v>
      </c>
      <c r="E1131" t="s">
        <v>5040</v>
      </c>
      <c r="F1131" t="s">
        <v>5041</v>
      </c>
      <c r="G1131" t="s">
        <v>3510</v>
      </c>
      <c r="H1131" t="s">
        <v>5042</v>
      </c>
    </row>
    <row r="1132" spans="1:8" x14ac:dyDescent="0.35">
      <c r="A1132" t="s">
        <v>5043</v>
      </c>
      <c r="B1132" t="str">
        <f>"9781438442662"</f>
        <v>9781438442662</v>
      </c>
      <c r="C1132" t="s">
        <v>5044</v>
      </c>
      <c r="D1132" t="s">
        <v>5045</v>
      </c>
      <c r="E1132" t="s">
        <v>5040</v>
      </c>
      <c r="F1132" t="s">
        <v>5046</v>
      </c>
      <c r="G1132" t="s">
        <v>60</v>
      </c>
      <c r="H1132" t="s">
        <v>5047</v>
      </c>
    </row>
    <row r="1133" spans="1:8" x14ac:dyDescent="0.35">
      <c r="A1133" t="s">
        <v>5048</v>
      </c>
      <c r="B1133" t="str">
        <f>"9781438441795"</f>
        <v>9781438441795</v>
      </c>
      <c r="C1133" t="s">
        <v>5049</v>
      </c>
      <c r="D1133" t="s">
        <v>566</v>
      </c>
      <c r="E1133" t="s">
        <v>5040</v>
      </c>
      <c r="F1133" t="s">
        <v>5046</v>
      </c>
      <c r="G1133" t="s">
        <v>2968</v>
      </c>
      <c r="H1133" t="s">
        <v>5050</v>
      </c>
    </row>
    <row r="1134" spans="1:8" x14ac:dyDescent="0.35">
      <c r="A1134" t="s">
        <v>5051</v>
      </c>
      <c r="B1134" t="str">
        <f>"9781438428819"</f>
        <v>9781438428819</v>
      </c>
      <c r="C1134" t="s">
        <v>5052</v>
      </c>
      <c r="D1134" t="s">
        <v>5053</v>
      </c>
      <c r="E1134" t="s">
        <v>5040</v>
      </c>
      <c r="G1134" t="s">
        <v>55</v>
      </c>
      <c r="H1134" t="s">
        <v>5054</v>
      </c>
    </row>
    <row r="1135" spans="1:8" x14ac:dyDescent="0.35">
      <c r="A1135" t="s">
        <v>5055</v>
      </c>
      <c r="B1135" t="str">
        <f>"9781438442570"</f>
        <v>9781438442570</v>
      </c>
      <c r="C1135" t="s">
        <v>5056</v>
      </c>
      <c r="D1135" t="s">
        <v>5057</v>
      </c>
      <c r="E1135" t="s">
        <v>5040</v>
      </c>
      <c r="G1135" t="s">
        <v>60</v>
      </c>
      <c r="H1135" t="s">
        <v>5058</v>
      </c>
    </row>
    <row r="1136" spans="1:8" x14ac:dyDescent="0.35">
      <c r="A1136" t="s">
        <v>5059</v>
      </c>
      <c r="B1136" t="str">
        <f>"9781438432168"</f>
        <v>9781438432168</v>
      </c>
      <c r="C1136" t="s">
        <v>5060</v>
      </c>
      <c r="D1136" t="s">
        <v>5061</v>
      </c>
      <c r="E1136" t="s">
        <v>5040</v>
      </c>
      <c r="G1136" t="s">
        <v>39</v>
      </c>
      <c r="H1136" t="s">
        <v>5062</v>
      </c>
    </row>
    <row r="1137" spans="1:8" x14ac:dyDescent="0.35">
      <c r="A1137" t="s">
        <v>5063</v>
      </c>
      <c r="B1137" t="str">
        <f>"9781438439402"</f>
        <v>9781438439402</v>
      </c>
      <c r="C1137" t="s">
        <v>5064</v>
      </c>
      <c r="D1137" t="s">
        <v>5065</v>
      </c>
      <c r="E1137" t="s">
        <v>5040</v>
      </c>
      <c r="F1137" t="s">
        <v>5046</v>
      </c>
      <c r="G1137" t="s">
        <v>60</v>
      </c>
      <c r="H1137" t="s">
        <v>5066</v>
      </c>
    </row>
    <row r="1138" spans="1:8" x14ac:dyDescent="0.35">
      <c r="A1138" t="s">
        <v>5067</v>
      </c>
      <c r="B1138" t="str">
        <f>"9780791480694"</f>
        <v>9780791480694</v>
      </c>
      <c r="C1138" t="s">
        <v>5068</v>
      </c>
      <c r="D1138" t="s">
        <v>5069</v>
      </c>
      <c r="E1138" t="s">
        <v>5040</v>
      </c>
      <c r="G1138" t="s">
        <v>112</v>
      </c>
      <c r="H1138" t="s">
        <v>5070</v>
      </c>
    </row>
    <row r="1139" spans="1:8" x14ac:dyDescent="0.35">
      <c r="A1139" t="s">
        <v>5071</v>
      </c>
      <c r="B1139" t="str">
        <f>"9780791479773"</f>
        <v>9780791479773</v>
      </c>
      <c r="C1139" t="s">
        <v>5072</v>
      </c>
      <c r="D1139" t="s">
        <v>5073</v>
      </c>
      <c r="E1139" t="s">
        <v>5040</v>
      </c>
      <c r="F1139" t="s">
        <v>5046</v>
      </c>
      <c r="G1139" t="s">
        <v>60</v>
      </c>
      <c r="H1139" t="s">
        <v>5074</v>
      </c>
    </row>
    <row r="1140" spans="1:8" x14ac:dyDescent="0.35">
      <c r="A1140" t="s">
        <v>5075</v>
      </c>
      <c r="B1140" t="str">
        <f>"9780791480564"</f>
        <v>9780791480564</v>
      </c>
      <c r="C1140" t="s">
        <v>5076</v>
      </c>
      <c r="D1140" t="s">
        <v>5077</v>
      </c>
      <c r="E1140" t="s">
        <v>5040</v>
      </c>
      <c r="F1140" t="s">
        <v>5046</v>
      </c>
      <c r="G1140" t="s">
        <v>60</v>
      </c>
      <c r="H1140" t="s">
        <v>5078</v>
      </c>
    </row>
    <row r="1141" spans="1:8" x14ac:dyDescent="0.35">
      <c r="A1141" t="s">
        <v>5079</v>
      </c>
      <c r="B1141" t="str">
        <f>"9780791480823"</f>
        <v>9780791480823</v>
      </c>
      <c r="C1141" t="s">
        <v>5080</v>
      </c>
      <c r="D1141" t="s">
        <v>5081</v>
      </c>
      <c r="E1141" t="s">
        <v>5040</v>
      </c>
      <c r="F1141" t="s">
        <v>5046</v>
      </c>
      <c r="G1141" t="s">
        <v>60</v>
      </c>
      <c r="H1141" t="s">
        <v>5082</v>
      </c>
    </row>
    <row r="1142" spans="1:8" x14ac:dyDescent="0.35">
      <c r="A1142" t="s">
        <v>5083</v>
      </c>
      <c r="B1142" t="str">
        <f>"9780791479650"</f>
        <v>9780791479650</v>
      </c>
      <c r="C1142" t="s">
        <v>5084</v>
      </c>
      <c r="D1142" t="s">
        <v>5085</v>
      </c>
      <c r="E1142" t="s">
        <v>5040</v>
      </c>
      <c r="F1142" t="s">
        <v>5046</v>
      </c>
      <c r="G1142" t="s">
        <v>44</v>
      </c>
      <c r="H1142" t="s">
        <v>5086</v>
      </c>
    </row>
    <row r="1143" spans="1:8" x14ac:dyDescent="0.35">
      <c r="A1143" t="s">
        <v>5087</v>
      </c>
      <c r="B1143" t="str">
        <f>"9780791479278"</f>
        <v>9780791479278</v>
      </c>
      <c r="C1143" t="s">
        <v>5088</v>
      </c>
      <c r="D1143" t="s">
        <v>5089</v>
      </c>
      <c r="E1143" t="s">
        <v>5040</v>
      </c>
      <c r="G1143" t="s">
        <v>726</v>
      </c>
      <c r="H1143" t="s">
        <v>5090</v>
      </c>
    </row>
    <row r="1144" spans="1:8" x14ac:dyDescent="0.35">
      <c r="A1144" t="s">
        <v>5091</v>
      </c>
      <c r="B1144" t="str">
        <f>"9780791480540"</f>
        <v>9780791480540</v>
      </c>
      <c r="C1144" t="s">
        <v>5092</v>
      </c>
      <c r="D1144" t="s">
        <v>5093</v>
      </c>
      <c r="E1144" t="s">
        <v>5040</v>
      </c>
      <c r="F1144" t="s">
        <v>5046</v>
      </c>
      <c r="G1144" t="s">
        <v>5094</v>
      </c>
      <c r="H1144" t="s">
        <v>5095</v>
      </c>
    </row>
    <row r="1145" spans="1:8" x14ac:dyDescent="0.35">
      <c r="A1145" t="s">
        <v>5096</v>
      </c>
      <c r="B1145" t="str">
        <f>"9780791481264"</f>
        <v>9780791481264</v>
      </c>
      <c r="C1145" t="s">
        <v>5097</v>
      </c>
      <c r="D1145" t="s">
        <v>5098</v>
      </c>
      <c r="E1145" t="s">
        <v>5040</v>
      </c>
      <c r="F1145" t="s">
        <v>5099</v>
      </c>
      <c r="G1145" t="s">
        <v>112</v>
      </c>
      <c r="H1145" t="s">
        <v>5100</v>
      </c>
    </row>
    <row r="1146" spans="1:8" x14ac:dyDescent="0.35">
      <c r="A1146" t="s">
        <v>5101</v>
      </c>
      <c r="B1146" t="str">
        <f>"9780791481349"</f>
        <v>9780791481349</v>
      </c>
      <c r="C1146" t="s">
        <v>5102</v>
      </c>
      <c r="D1146" t="s">
        <v>5103</v>
      </c>
      <c r="E1146" t="s">
        <v>5040</v>
      </c>
      <c r="F1146" t="s">
        <v>5099</v>
      </c>
      <c r="G1146" t="s">
        <v>5104</v>
      </c>
      <c r="H1146" t="s">
        <v>5105</v>
      </c>
    </row>
    <row r="1147" spans="1:8" x14ac:dyDescent="0.35">
      <c r="A1147" t="s">
        <v>5106</v>
      </c>
      <c r="B1147" t="str">
        <f>"9780791484012"</f>
        <v>9780791484012</v>
      </c>
      <c r="C1147" t="s">
        <v>5107</v>
      </c>
      <c r="D1147" t="s">
        <v>5108</v>
      </c>
      <c r="E1147" t="s">
        <v>5040</v>
      </c>
      <c r="F1147" t="s">
        <v>5046</v>
      </c>
      <c r="G1147" t="s">
        <v>60</v>
      </c>
      <c r="H1147" t="s">
        <v>5109</v>
      </c>
    </row>
    <row r="1148" spans="1:8" x14ac:dyDescent="0.35">
      <c r="A1148" t="s">
        <v>5110</v>
      </c>
      <c r="B1148" t="str">
        <f>"9780791483350"</f>
        <v>9780791483350</v>
      </c>
      <c r="C1148" t="s">
        <v>5111</v>
      </c>
      <c r="D1148" t="s">
        <v>5112</v>
      </c>
      <c r="E1148" t="s">
        <v>5040</v>
      </c>
      <c r="F1148" t="s">
        <v>5046</v>
      </c>
      <c r="G1148" t="s">
        <v>3510</v>
      </c>
      <c r="H1148" t="s">
        <v>5113</v>
      </c>
    </row>
    <row r="1149" spans="1:8" x14ac:dyDescent="0.35">
      <c r="A1149" t="s">
        <v>5114</v>
      </c>
      <c r="B1149" t="str">
        <f>"9780791481233"</f>
        <v>9780791481233</v>
      </c>
      <c r="C1149" t="s">
        <v>5115</v>
      </c>
      <c r="D1149" t="s">
        <v>5116</v>
      </c>
      <c r="E1149" t="s">
        <v>5040</v>
      </c>
      <c r="F1149" t="s">
        <v>5099</v>
      </c>
      <c r="G1149" t="s">
        <v>112</v>
      </c>
      <c r="H1149" t="s">
        <v>5117</v>
      </c>
    </row>
    <row r="1150" spans="1:8" x14ac:dyDescent="0.35">
      <c r="A1150" t="s">
        <v>5118</v>
      </c>
      <c r="B1150" t="str">
        <f>"9780791489376"</f>
        <v>9780791489376</v>
      </c>
      <c r="C1150" t="s">
        <v>5119</v>
      </c>
      <c r="D1150" t="s">
        <v>5120</v>
      </c>
      <c r="E1150" t="s">
        <v>5040</v>
      </c>
      <c r="F1150" t="s">
        <v>5099</v>
      </c>
      <c r="G1150" t="s">
        <v>112</v>
      </c>
      <c r="H1150" t="s">
        <v>5121</v>
      </c>
    </row>
    <row r="1151" spans="1:8" x14ac:dyDescent="0.35">
      <c r="A1151" t="s">
        <v>5122</v>
      </c>
      <c r="B1151" t="str">
        <f>"9780791488652"</f>
        <v>9780791488652</v>
      </c>
      <c r="C1151" t="s">
        <v>5123</v>
      </c>
      <c r="D1151" t="s">
        <v>5124</v>
      </c>
      <c r="E1151" t="s">
        <v>5040</v>
      </c>
      <c r="F1151" t="s">
        <v>5099</v>
      </c>
      <c r="G1151" t="s">
        <v>112</v>
      </c>
      <c r="H1151" t="s">
        <v>5125</v>
      </c>
    </row>
    <row r="1152" spans="1:8" x14ac:dyDescent="0.35">
      <c r="A1152" t="s">
        <v>5126</v>
      </c>
      <c r="B1152" t="str">
        <f>"9780791493847"</f>
        <v>9780791493847</v>
      </c>
      <c r="C1152" t="s">
        <v>5127</v>
      </c>
      <c r="D1152" t="s">
        <v>5128</v>
      </c>
      <c r="E1152" t="s">
        <v>5040</v>
      </c>
      <c r="F1152" t="s">
        <v>5129</v>
      </c>
      <c r="G1152" t="s">
        <v>44</v>
      </c>
      <c r="H1152" t="s">
        <v>5130</v>
      </c>
    </row>
    <row r="1153" spans="1:8" x14ac:dyDescent="0.35">
      <c r="A1153" t="s">
        <v>5131</v>
      </c>
      <c r="B1153" t="str">
        <f>"9780791493854"</f>
        <v>9780791493854</v>
      </c>
      <c r="C1153" t="s">
        <v>5132</v>
      </c>
      <c r="D1153" t="s">
        <v>566</v>
      </c>
      <c r="E1153" t="s">
        <v>5040</v>
      </c>
      <c r="F1153" t="s">
        <v>5046</v>
      </c>
      <c r="G1153" t="s">
        <v>139</v>
      </c>
      <c r="H1153" t="s">
        <v>5133</v>
      </c>
    </row>
    <row r="1154" spans="1:8" x14ac:dyDescent="0.35">
      <c r="A1154" t="s">
        <v>5134</v>
      </c>
      <c r="B1154" t="str">
        <f>"9780791493694"</f>
        <v>9780791493694</v>
      </c>
      <c r="C1154" t="s">
        <v>5135</v>
      </c>
      <c r="D1154" t="s">
        <v>5136</v>
      </c>
      <c r="E1154" t="s">
        <v>5040</v>
      </c>
      <c r="G1154" t="s">
        <v>22</v>
      </c>
      <c r="H1154" t="s">
        <v>5137</v>
      </c>
    </row>
    <row r="1155" spans="1:8" x14ac:dyDescent="0.35">
      <c r="A1155" t="s">
        <v>5138</v>
      </c>
      <c r="B1155" t="str">
        <f>"9780791493724"</f>
        <v>9780791493724</v>
      </c>
      <c r="C1155" t="s">
        <v>5139</v>
      </c>
      <c r="D1155" t="s">
        <v>5140</v>
      </c>
      <c r="E1155" t="s">
        <v>5040</v>
      </c>
      <c r="F1155" t="s">
        <v>5046</v>
      </c>
      <c r="G1155" t="s">
        <v>60</v>
      </c>
      <c r="H1155" t="s">
        <v>5141</v>
      </c>
    </row>
    <row r="1156" spans="1:8" x14ac:dyDescent="0.35">
      <c r="A1156" t="s">
        <v>5142</v>
      </c>
      <c r="B1156" t="str">
        <f>"9781438426891"</f>
        <v>9781438426891</v>
      </c>
      <c r="C1156" t="s">
        <v>5143</v>
      </c>
      <c r="D1156" t="s">
        <v>5144</v>
      </c>
      <c r="E1156" t="s">
        <v>5040</v>
      </c>
      <c r="F1156" t="s">
        <v>5046</v>
      </c>
      <c r="G1156" t="s">
        <v>5145</v>
      </c>
      <c r="H1156" t="s">
        <v>5146</v>
      </c>
    </row>
    <row r="1157" spans="1:8" x14ac:dyDescent="0.35">
      <c r="A1157" t="s">
        <v>5147</v>
      </c>
      <c r="B1157" t="str">
        <f>"9780791484951"</f>
        <v>9780791484951</v>
      </c>
      <c r="C1157" t="s">
        <v>5148</v>
      </c>
      <c r="D1157" t="s">
        <v>5149</v>
      </c>
      <c r="E1157" t="s">
        <v>5040</v>
      </c>
      <c r="F1157" t="s">
        <v>5046</v>
      </c>
      <c r="G1157" t="s">
        <v>60</v>
      </c>
      <c r="H1157" t="s">
        <v>5150</v>
      </c>
    </row>
    <row r="1158" spans="1:8" x14ac:dyDescent="0.35">
      <c r="A1158" t="s">
        <v>5151</v>
      </c>
      <c r="B1158" t="str">
        <f>"9780791485262"</f>
        <v>9780791485262</v>
      </c>
      <c r="C1158" t="s">
        <v>5152</v>
      </c>
      <c r="D1158" t="s">
        <v>5153</v>
      </c>
      <c r="E1158" t="s">
        <v>5040</v>
      </c>
      <c r="F1158" t="s">
        <v>5099</v>
      </c>
      <c r="G1158" t="s">
        <v>112</v>
      </c>
      <c r="H1158" t="s">
        <v>5154</v>
      </c>
    </row>
    <row r="1159" spans="1:8" x14ac:dyDescent="0.35">
      <c r="A1159" t="s">
        <v>5155</v>
      </c>
      <c r="B1159" t="str">
        <f>"9780791484708"</f>
        <v>9780791484708</v>
      </c>
      <c r="C1159" t="s">
        <v>5156</v>
      </c>
      <c r="D1159" t="s">
        <v>5157</v>
      </c>
      <c r="E1159" t="s">
        <v>5040</v>
      </c>
      <c r="F1159" t="s">
        <v>5099</v>
      </c>
      <c r="G1159" t="s">
        <v>112</v>
      </c>
      <c r="H1159" t="s">
        <v>5158</v>
      </c>
    </row>
    <row r="1160" spans="1:8" x14ac:dyDescent="0.35">
      <c r="A1160" t="s">
        <v>5159</v>
      </c>
      <c r="B1160" t="str">
        <f>"9781438442785"</f>
        <v>9781438442785</v>
      </c>
      <c r="C1160" t="s">
        <v>5160</v>
      </c>
      <c r="D1160" t="s">
        <v>5161</v>
      </c>
      <c r="E1160" t="s">
        <v>5040</v>
      </c>
      <c r="F1160" t="s">
        <v>5046</v>
      </c>
      <c r="G1160" t="s">
        <v>60</v>
      </c>
      <c r="H1160" t="s">
        <v>5162</v>
      </c>
    </row>
    <row r="1161" spans="1:8" x14ac:dyDescent="0.35">
      <c r="A1161" t="s">
        <v>5163</v>
      </c>
      <c r="B1161" t="str">
        <f>"9781438446950"</f>
        <v>9781438446950</v>
      </c>
      <c r="C1161" t="s">
        <v>5164</v>
      </c>
      <c r="D1161" t="s">
        <v>5165</v>
      </c>
      <c r="E1161" t="s">
        <v>5040</v>
      </c>
      <c r="F1161" t="s">
        <v>5166</v>
      </c>
      <c r="G1161" t="s">
        <v>39</v>
      </c>
      <c r="H1161" t="s">
        <v>5167</v>
      </c>
    </row>
    <row r="1162" spans="1:8" x14ac:dyDescent="0.35">
      <c r="A1162" t="s">
        <v>5168</v>
      </c>
      <c r="B1162" t="str">
        <f>"9781438448015"</f>
        <v>9781438448015</v>
      </c>
      <c r="C1162" t="s">
        <v>5169</v>
      </c>
      <c r="D1162" t="s">
        <v>5170</v>
      </c>
      <c r="E1162" t="s">
        <v>5040</v>
      </c>
      <c r="G1162" t="s">
        <v>186</v>
      </c>
      <c r="H1162" t="s">
        <v>5171</v>
      </c>
    </row>
    <row r="1163" spans="1:8" x14ac:dyDescent="0.35">
      <c r="A1163" t="s">
        <v>5172</v>
      </c>
      <c r="B1163" t="str">
        <f>"9781438449067"</f>
        <v>9781438449067</v>
      </c>
      <c r="C1163" t="s">
        <v>5173</v>
      </c>
      <c r="D1163" t="s">
        <v>5174</v>
      </c>
      <c r="E1163" t="s">
        <v>5040</v>
      </c>
      <c r="F1163" t="s">
        <v>5175</v>
      </c>
      <c r="G1163" t="s">
        <v>60</v>
      </c>
      <c r="H1163" t="s">
        <v>5176</v>
      </c>
    </row>
    <row r="1164" spans="1:8" x14ac:dyDescent="0.35">
      <c r="A1164" t="s">
        <v>5177</v>
      </c>
      <c r="B1164" t="str">
        <f>"9781438449531"</f>
        <v>9781438449531</v>
      </c>
      <c r="C1164" t="s">
        <v>5178</v>
      </c>
      <c r="D1164" t="s">
        <v>5179</v>
      </c>
      <c r="E1164" t="s">
        <v>5040</v>
      </c>
      <c r="F1164" t="s">
        <v>5046</v>
      </c>
      <c r="G1164" t="s">
        <v>60</v>
      </c>
      <c r="H1164" t="s">
        <v>5180</v>
      </c>
    </row>
    <row r="1165" spans="1:8" x14ac:dyDescent="0.35">
      <c r="A1165" t="s">
        <v>5181</v>
      </c>
      <c r="B1165" t="str">
        <f>"9781438452470"</f>
        <v>9781438452470</v>
      </c>
      <c r="C1165" t="s">
        <v>5182</v>
      </c>
      <c r="D1165" t="s">
        <v>5183</v>
      </c>
      <c r="E1165" t="s">
        <v>5040</v>
      </c>
      <c r="F1165" t="s">
        <v>5184</v>
      </c>
      <c r="G1165" t="s">
        <v>39</v>
      </c>
      <c r="H1165" t="s">
        <v>5185</v>
      </c>
    </row>
    <row r="1166" spans="1:8" x14ac:dyDescent="0.35">
      <c r="A1166" t="s">
        <v>5186</v>
      </c>
      <c r="B1166" t="str">
        <f>"9781438452746"</f>
        <v>9781438452746</v>
      </c>
      <c r="C1166" t="s">
        <v>5187</v>
      </c>
      <c r="D1166" t="s">
        <v>5188</v>
      </c>
      <c r="E1166" t="s">
        <v>5040</v>
      </c>
      <c r="F1166" t="s">
        <v>5046</v>
      </c>
      <c r="G1166" t="s">
        <v>39</v>
      </c>
      <c r="H1166" t="s">
        <v>5189</v>
      </c>
    </row>
    <row r="1167" spans="1:8" x14ac:dyDescent="0.35">
      <c r="A1167" t="s">
        <v>5190</v>
      </c>
      <c r="B1167" t="str">
        <f>"9781438453361"</f>
        <v>9781438453361</v>
      </c>
      <c r="C1167" t="s">
        <v>5191</v>
      </c>
      <c r="D1167" t="s">
        <v>5192</v>
      </c>
      <c r="E1167" t="s">
        <v>5040</v>
      </c>
      <c r="F1167" t="s">
        <v>5193</v>
      </c>
      <c r="G1167" t="s">
        <v>39</v>
      </c>
      <c r="H1167" t="s">
        <v>5194</v>
      </c>
    </row>
    <row r="1168" spans="1:8" x14ac:dyDescent="0.35">
      <c r="A1168" t="s">
        <v>5195</v>
      </c>
      <c r="B1168" t="str">
        <f>"9781438453002"</f>
        <v>9781438453002</v>
      </c>
      <c r="C1168" t="s">
        <v>5196</v>
      </c>
      <c r="D1168" t="s">
        <v>5197</v>
      </c>
      <c r="E1168" t="s">
        <v>5040</v>
      </c>
      <c r="F1168" t="s">
        <v>5198</v>
      </c>
      <c r="G1168" t="s">
        <v>39</v>
      </c>
      <c r="H1168" t="s">
        <v>5199</v>
      </c>
    </row>
    <row r="1169" spans="1:8" x14ac:dyDescent="0.35">
      <c r="A1169" t="s">
        <v>5200</v>
      </c>
      <c r="B1169" t="str">
        <f>"9780815651086"</f>
        <v>9780815651086</v>
      </c>
      <c r="C1169" t="s">
        <v>5201</v>
      </c>
      <c r="D1169" t="s">
        <v>5202</v>
      </c>
      <c r="E1169" t="s">
        <v>5203</v>
      </c>
      <c r="G1169" t="s">
        <v>17</v>
      </c>
      <c r="H1169" t="s">
        <v>5204</v>
      </c>
    </row>
    <row r="1170" spans="1:8" x14ac:dyDescent="0.35">
      <c r="A1170" t="s">
        <v>5205</v>
      </c>
      <c r="B1170" t="str">
        <f>"9780816501243"</f>
        <v>9780816501243</v>
      </c>
      <c r="C1170" t="s">
        <v>5206</v>
      </c>
      <c r="D1170" t="s">
        <v>5207</v>
      </c>
      <c r="E1170" t="s">
        <v>5208</v>
      </c>
      <c r="G1170" t="s">
        <v>39</v>
      </c>
      <c r="H1170" t="s">
        <v>5209</v>
      </c>
    </row>
    <row r="1171" spans="1:8" x14ac:dyDescent="0.35">
      <c r="A1171" t="s">
        <v>5210</v>
      </c>
      <c r="B1171" t="str">
        <f>"9780816501083"</f>
        <v>9780816501083</v>
      </c>
      <c r="C1171" t="s">
        <v>5211</v>
      </c>
      <c r="D1171" t="s">
        <v>5212</v>
      </c>
      <c r="E1171" t="s">
        <v>5208</v>
      </c>
      <c r="G1171" t="s">
        <v>157</v>
      </c>
      <c r="H1171" t="s">
        <v>5213</v>
      </c>
    </row>
    <row r="1172" spans="1:8" x14ac:dyDescent="0.35">
      <c r="A1172" t="s">
        <v>5214</v>
      </c>
      <c r="B1172" t="str">
        <f>"9780816502271"</f>
        <v>9780816502271</v>
      </c>
      <c r="C1172" t="s">
        <v>5215</v>
      </c>
      <c r="D1172" t="s">
        <v>5216</v>
      </c>
      <c r="E1172" t="s">
        <v>5208</v>
      </c>
      <c r="G1172" t="s">
        <v>5217</v>
      </c>
      <c r="H1172" t="s">
        <v>5218</v>
      </c>
    </row>
    <row r="1173" spans="1:8" x14ac:dyDescent="0.35">
      <c r="A1173" t="s">
        <v>5219</v>
      </c>
      <c r="B1173" t="str">
        <f>"9780816502875"</f>
        <v>9780816502875</v>
      </c>
      <c r="C1173" t="s">
        <v>5220</v>
      </c>
      <c r="D1173" t="s">
        <v>5221</v>
      </c>
      <c r="E1173" t="s">
        <v>5208</v>
      </c>
      <c r="G1173" t="s">
        <v>44</v>
      </c>
      <c r="H1173" t="s">
        <v>5222</v>
      </c>
    </row>
    <row r="1174" spans="1:8" x14ac:dyDescent="0.35">
      <c r="A1174" t="s">
        <v>5223</v>
      </c>
      <c r="B1174" t="str">
        <f>"9780816501144"</f>
        <v>9780816501144</v>
      </c>
      <c r="C1174" t="s">
        <v>5224</v>
      </c>
      <c r="D1174" t="s">
        <v>5225</v>
      </c>
      <c r="E1174" t="s">
        <v>5208</v>
      </c>
      <c r="G1174" t="s">
        <v>39</v>
      </c>
      <c r="H1174" t="s">
        <v>5226</v>
      </c>
    </row>
    <row r="1175" spans="1:8" x14ac:dyDescent="0.35">
      <c r="A1175" t="s">
        <v>5227</v>
      </c>
      <c r="B1175" t="str">
        <f>"9780816502264"</f>
        <v>9780816502264</v>
      </c>
      <c r="C1175" t="s">
        <v>5228</v>
      </c>
      <c r="D1175" t="s">
        <v>5229</v>
      </c>
      <c r="E1175" t="s">
        <v>5208</v>
      </c>
      <c r="F1175" t="s">
        <v>5230</v>
      </c>
      <c r="G1175" t="s">
        <v>180</v>
      </c>
      <c r="H1175" t="s">
        <v>5231</v>
      </c>
    </row>
    <row r="1176" spans="1:8" x14ac:dyDescent="0.35">
      <c r="A1176" t="s">
        <v>5232</v>
      </c>
      <c r="B1176" t="str">
        <f>"9780816502226"</f>
        <v>9780816502226</v>
      </c>
      <c r="C1176" t="s">
        <v>5233</v>
      </c>
      <c r="D1176" t="s">
        <v>5234</v>
      </c>
      <c r="E1176" t="s">
        <v>5208</v>
      </c>
      <c r="G1176" t="s">
        <v>55</v>
      </c>
      <c r="H1176" t="s">
        <v>5235</v>
      </c>
    </row>
    <row r="1177" spans="1:8" x14ac:dyDescent="0.35">
      <c r="A1177" t="s">
        <v>5236</v>
      </c>
      <c r="B1177" t="str">
        <f>"9780816501120"</f>
        <v>9780816501120</v>
      </c>
      <c r="C1177" t="s">
        <v>5237</v>
      </c>
      <c r="D1177" t="s">
        <v>5238</v>
      </c>
      <c r="E1177" t="s">
        <v>5208</v>
      </c>
      <c r="G1177" t="s">
        <v>39</v>
      </c>
      <c r="H1177" t="s">
        <v>5239</v>
      </c>
    </row>
    <row r="1178" spans="1:8" x14ac:dyDescent="0.35">
      <c r="A1178" t="s">
        <v>5240</v>
      </c>
      <c r="B1178" t="str">
        <f>"9780816508198"</f>
        <v>9780816508198</v>
      </c>
      <c r="C1178" t="s">
        <v>5241</v>
      </c>
      <c r="D1178" t="s">
        <v>5242</v>
      </c>
      <c r="E1178" t="s">
        <v>5208</v>
      </c>
      <c r="G1178" t="s">
        <v>44</v>
      </c>
      <c r="H1178" t="s">
        <v>5243</v>
      </c>
    </row>
    <row r="1179" spans="1:8" x14ac:dyDescent="0.35">
      <c r="A1179" t="s">
        <v>5244</v>
      </c>
      <c r="B1179" t="str">
        <f>"9780816501793"</f>
        <v>9780816501793</v>
      </c>
      <c r="C1179" t="s">
        <v>5245</v>
      </c>
      <c r="D1179" t="s">
        <v>5246</v>
      </c>
      <c r="E1179" t="s">
        <v>5208</v>
      </c>
      <c r="F1179" t="s">
        <v>5247</v>
      </c>
      <c r="G1179" t="s">
        <v>146</v>
      </c>
      <c r="H1179" t="s">
        <v>5248</v>
      </c>
    </row>
    <row r="1180" spans="1:8" x14ac:dyDescent="0.35">
      <c r="A1180" t="s">
        <v>5249</v>
      </c>
      <c r="B1180" t="str">
        <f>"9780816503339"</f>
        <v>9780816503339</v>
      </c>
      <c r="C1180" t="s">
        <v>5250</v>
      </c>
      <c r="D1180" t="s">
        <v>5251</v>
      </c>
      <c r="E1180" t="s">
        <v>5208</v>
      </c>
      <c r="F1180" t="s">
        <v>5247</v>
      </c>
      <c r="G1180" t="s">
        <v>44</v>
      </c>
      <c r="H1180" t="s">
        <v>5252</v>
      </c>
    </row>
    <row r="1181" spans="1:8" x14ac:dyDescent="0.35">
      <c r="A1181" t="s">
        <v>5253</v>
      </c>
      <c r="B1181" t="str">
        <f>"9780816505593"</f>
        <v>9780816505593</v>
      </c>
      <c r="C1181" t="s">
        <v>5254</v>
      </c>
      <c r="D1181" t="s">
        <v>5255</v>
      </c>
      <c r="E1181" t="s">
        <v>5208</v>
      </c>
      <c r="F1181" t="s">
        <v>5256</v>
      </c>
      <c r="G1181" t="s">
        <v>1116</v>
      </c>
      <c r="H1181" t="s">
        <v>5257</v>
      </c>
    </row>
    <row r="1182" spans="1:8" x14ac:dyDescent="0.35">
      <c r="A1182" t="s">
        <v>5258</v>
      </c>
      <c r="B1182" t="str">
        <f>"9780816505289"</f>
        <v>9780816505289</v>
      </c>
      <c r="C1182" t="s">
        <v>5259</v>
      </c>
      <c r="D1182" t="s">
        <v>5260</v>
      </c>
      <c r="E1182" t="s">
        <v>5208</v>
      </c>
      <c r="G1182" t="s">
        <v>2494</v>
      </c>
      <c r="H1182" t="s">
        <v>5261</v>
      </c>
    </row>
    <row r="1183" spans="1:8" x14ac:dyDescent="0.35">
      <c r="A1183" t="s">
        <v>5262</v>
      </c>
      <c r="B1183" t="str">
        <f>"9780816521029"</f>
        <v>9780816521029</v>
      </c>
      <c r="C1183" t="s">
        <v>5263</v>
      </c>
      <c r="D1183" t="s">
        <v>5264</v>
      </c>
      <c r="E1183" t="s">
        <v>5208</v>
      </c>
      <c r="G1183" t="s">
        <v>1116</v>
      </c>
      <c r="H1183" t="s">
        <v>5265</v>
      </c>
    </row>
    <row r="1184" spans="1:8" x14ac:dyDescent="0.35">
      <c r="A1184" t="s">
        <v>5266</v>
      </c>
      <c r="B1184" t="str">
        <f>"9780816501175"</f>
        <v>9780816501175</v>
      </c>
      <c r="C1184" t="s">
        <v>5267</v>
      </c>
      <c r="D1184" t="s">
        <v>5268</v>
      </c>
      <c r="E1184" t="s">
        <v>5208</v>
      </c>
      <c r="G1184" t="s">
        <v>83</v>
      </c>
      <c r="H1184" t="s">
        <v>5269</v>
      </c>
    </row>
    <row r="1185" spans="1:8" x14ac:dyDescent="0.35">
      <c r="A1185" t="s">
        <v>5270</v>
      </c>
      <c r="B1185" t="str">
        <f>"9780816521081"</f>
        <v>9780816521081</v>
      </c>
      <c r="C1185" t="s">
        <v>5271</v>
      </c>
      <c r="D1185" t="s">
        <v>5272</v>
      </c>
      <c r="E1185" t="s">
        <v>5208</v>
      </c>
      <c r="G1185" t="s">
        <v>39</v>
      </c>
      <c r="H1185" t="s">
        <v>5273</v>
      </c>
    </row>
    <row r="1186" spans="1:8" x14ac:dyDescent="0.35">
      <c r="A1186" t="s">
        <v>5274</v>
      </c>
      <c r="B1186" t="str">
        <f>"9780816501212"</f>
        <v>9780816501212</v>
      </c>
      <c r="C1186" t="s">
        <v>5275</v>
      </c>
      <c r="D1186" t="s">
        <v>5276</v>
      </c>
      <c r="E1186" t="s">
        <v>5208</v>
      </c>
      <c r="G1186" t="s">
        <v>157</v>
      </c>
      <c r="H1186" t="s">
        <v>5277</v>
      </c>
    </row>
    <row r="1187" spans="1:8" x14ac:dyDescent="0.35">
      <c r="A1187" t="s">
        <v>5278</v>
      </c>
      <c r="B1187" t="str">
        <f>"9780816599646"</f>
        <v>9780816599646</v>
      </c>
      <c r="C1187" t="s">
        <v>5279</v>
      </c>
      <c r="D1187" t="s">
        <v>5280</v>
      </c>
      <c r="E1187" t="s">
        <v>5208</v>
      </c>
      <c r="G1187" t="s">
        <v>96</v>
      </c>
      <c r="H1187" t="s">
        <v>5281</v>
      </c>
    </row>
    <row r="1188" spans="1:8" x14ac:dyDescent="0.35">
      <c r="A1188" t="s">
        <v>5282</v>
      </c>
      <c r="B1188" t="str">
        <f>"9780816599516"</f>
        <v>9780816599516</v>
      </c>
      <c r="C1188" t="s">
        <v>5283</v>
      </c>
      <c r="D1188" t="s">
        <v>5284</v>
      </c>
      <c r="E1188" t="s">
        <v>5208</v>
      </c>
      <c r="G1188" t="s">
        <v>44</v>
      </c>
      <c r="H1188" t="s">
        <v>5285</v>
      </c>
    </row>
    <row r="1189" spans="1:8" x14ac:dyDescent="0.35">
      <c r="A1189" t="s">
        <v>5286</v>
      </c>
      <c r="B1189" t="str">
        <f>"9780816599448"</f>
        <v>9780816599448</v>
      </c>
      <c r="C1189" t="s">
        <v>5287</v>
      </c>
      <c r="D1189" t="s">
        <v>5288</v>
      </c>
      <c r="E1189" t="s">
        <v>5208</v>
      </c>
      <c r="G1189" t="s">
        <v>750</v>
      </c>
      <c r="H1189" t="s">
        <v>5289</v>
      </c>
    </row>
    <row r="1190" spans="1:8" x14ac:dyDescent="0.35">
      <c r="A1190" t="s">
        <v>5290</v>
      </c>
      <c r="B1190" t="str">
        <f>"9780816599509"</f>
        <v>9780816599509</v>
      </c>
      <c r="C1190" t="s">
        <v>5291</v>
      </c>
      <c r="D1190" t="s">
        <v>5292</v>
      </c>
      <c r="E1190" t="s">
        <v>5208</v>
      </c>
      <c r="F1190" t="s">
        <v>5293</v>
      </c>
      <c r="G1190" t="s">
        <v>371</v>
      </c>
      <c r="H1190" t="s">
        <v>5294</v>
      </c>
    </row>
    <row r="1191" spans="1:8" x14ac:dyDescent="0.35">
      <c r="A1191" t="s">
        <v>5295</v>
      </c>
      <c r="B1191" t="str">
        <f>"9780816599370"</f>
        <v>9780816599370</v>
      </c>
      <c r="C1191" t="s">
        <v>5296</v>
      </c>
      <c r="D1191" t="s">
        <v>5297</v>
      </c>
      <c r="E1191" t="s">
        <v>5208</v>
      </c>
      <c r="G1191" t="s">
        <v>39</v>
      </c>
      <c r="H1191" t="s">
        <v>5298</v>
      </c>
    </row>
    <row r="1192" spans="1:8" x14ac:dyDescent="0.35">
      <c r="A1192" t="s">
        <v>5299</v>
      </c>
      <c r="B1192" t="str">
        <f>"9780816599479"</f>
        <v>9780816599479</v>
      </c>
      <c r="C1192" t="s">
        <v>5300</v>
      </c>
      <c r="D1192" t="s">
        <v>5301</v>
      </c>
      <c r="E1192" t="s">
        <v>5208</v>
      </c>
      <c r="G1192" t="s">
        <v>39</v>
      </c>
      <c r="H1192" t="s">
        <v>5302</v>
      </c>
    </row>
    <row r="1193" spans="1:8" x14ac:dyDescent="0.35">
      <c r="A1193" t="s">
        <v>5303</v>
      </c>
      <c r="B1193" t="str">
        <f>"9780816599455"</f>
        <v>9780816599455</v>
      </c>
      <c r="C1193" t="s">
        <v>5304</v>
      </c>
      <c r="D1193" t="s">
        <v>5305</v>
      </c>
      <c r="E1193" t="s">
        <v>5208</v>
      </c>
      <c r="G1193" t="s">
        <v>44</v>
      </c>
      <c r="H1193" t="s">
        <v>5306</v>
      </c>
    </row>
    <row r="1194" spans="1:8" x14ac:dyDescent="0.35">
      <c r="A1194" t="s">
        <v>5307</v>
      </c>
      <c r="B1194" t="str">
        <f>"9780816599349"</f>
        <v>9780816599349</v>
      </c>
      <c r="C1194" t="s">
        <v>5308</v>
      </c>
      <c r="D1194" t="s">
        <v>5309</v>
      </c>
      <c r="E1194" t="s">
        <v>5208</v>
      </c>
      <c r="G1194" t="s">
        <v>44</v>
      </c>
      <c r="H1194" t="s">
        <v>5310</v>
      </c>
    </row>
    <row r="1195" spans="1:8" x14ac:dyDescent="0.35">
      <c r="A1195" t="s">
        <v>5311</v>
      </c>
      <c r="B1195" t="str">
        <f>"9780816599387"</f>
        <v>9780816599387</v>
      </c>
      <c r="C1195" t="s">
        <v>5312</v>
      </c>
      <c r="D1195" t="s">
        <v>5313</v>
      </c>
      <c r="E1195" t="s">
        <v>5208</v>
      </c>
      <c r="G1195" t="s">
        <v>44</v>
      </c>
      <c r="H1195" t="s">
        <v>5314</v>
      </c>
    </row>
    <row r="1196" spans="1:8" x14ac:dyDescent="0.35">
      <c r="A1196" t="s">
        <v>5315</v>
      </c>
      <c r="B1196" t="str">
        <f>"9780816599530"</f>
        <v>9780816599530</v>
      </c>
      <c r="C1196" t="s">
        <v>5316</v>
      </c>
      <c r="D1196" t="s">
        <v>5317</v>
      </c>
      <c r="E1196" t="s">
        <v>5208</v>
      </c>
      <c r="G1196" t="s">
        <v>83</v>
      </c>
      <c r="H1196" t="s">
        <v>5318</v>
      </c>
    </row>
    <row r="1197" spans="1:8" x14ac:dyDescent="0.35">
      <c r="A1197" t="s">
        <v>5319</v>
      </c>
      <c r="B1197" t="str">
        <f>"9780816599967"</f>
        <v>9780816599967</v>
      </c>
      <c r="C1197" t="s">
        <v>5320</v>
      </c>
      <c r="D1197" t="s">
        <v>5321</v>
      </c>
      <c r="E1197" t="s">
        <v>5208</v>
      </c>
      <c r="G1197" t="s">
        <v>1047</v>
      </c>
      <c r="H1197" t="s">
        <v>5322</v>
      </c>
    </row>
    <row r="1198" spans="1:8" x14ac:dyDescent="0.35">
      <c r="A1198" t="s">
        <v>5323</v>
      </c>
      <c r="B1198" t="str">
        <f>"9780816599806"</f>
        <v>9780816599806</v>
      </c>
      <c r="C1198" t="s">
        <v>5324</v>
      </c>
      <c r="D1198" t="s">
        <v>5325</v>
      </c>
      <c r="E1198" t="s">
        <v>5208</v>
      </c>
      <c r="G1198" t="s">
        <v>112</v>
      </c>
      <c r="H1198" t="s">
        <v>5326</v>
      </c>
    </row>
    <row r="1199" spans="1:8" x14ac:dyDescent="0.35">
      <c r="A1199" t="s">
        <v>5327</v>
      </c>
      <c r="B1199" t="str">
        <f>"9780816599929"</f>
        <v>9780816599929</v>
      </c>
      <c r="C1199" t="s">
        <v>5328</v>
      </c>
      <c r="D1199" t="s">
        <v>5329</v>
      </c>
      <c r="E1199" t="s">
        <v>5208</v>
      </c>
      <c r="F1199" t="s">
        <v>5330</v>
      </c>
      <c r="G1199" t="s">
        <v>60</v>
      </c>
      <c r="H1199" t="s">
        <v>5331</v>
      </c>
    </row>
    <row r="1200" spans="1:8" x14ac:dyDescent="0.35">
      <c r="A1200" t="s">
        <v>5332</v>
      </c>
      <c r="B1200" t="str">
        <f>"9780816599783"</f>
        <v>9780816599783</v>
      </c>
      <c r="C1200" t="s">
        <v>5333</v>
      </c>
      <c r="D1200" t="s">
        <v>5334</v>
      </c>
      <c r="E1200" t="s">
        <v>5208</v>
      </c>
      <c r="G1200" t="s">
        <v>5335</v>
      </c>
      <c r="H1200" t="s">
        <v>5336</v>
      </c>
    </row>
    <row r="1201" spans="1:8" x14ac:dyDescent="0.35">
      <c r="A1201" t="s">
        <v>5337</v>
      </c>
      <c r="B1201" t="str">
        <f>"9780816599615"</f>
        <v>9780816599615</v>
      </c>
      <c r="C1201" t="s">
        <v>5338</v>
      </c>
      <c r="D1201" t="s">
        <v>5339</v>
      </c>
      <c r="E1201" t="s">
        <v>5208</v>
      </c>
      <c r="F1201" t="s">
        <v>5340</v>
      </c>
      <c r="G1201" t="s">
        <v>55</v>
      </c>
      <c r="H1201" t="s">
        <v>5341</v>
      </c>
    </row>
    <row r="1202" spans="1:8" x14ac:dyDescent="0.35">
      <c r="A1202" t="s">
        <v>5342</v>
      </c>
      <c r="B1202" t="str">
        <f>"9780816599844"</f>
        <v>9780816599844</v>
      </c>
      <c r="C1202" t="s">
        <v>5343</v>
      </c>
      <c r="D1202" t="s">
        <v>5344</v>
      </c>
      <c r="E1202" t="s">
        <v>5208</v>
      </c>
      <c r="F1202" t="s">
        <v>5247</v>
      </c>
      <c r="G1202" t="s">
        <v>44</v>
      </c>
      <c r="H1202" t="s">
        <v>5345</v>
      </c>
    </row>
    <row r="1203" spans="1:8" x14ac:dyDescent="0.35">
      <c r="A1203" t="s">
        <v>5346</v>
      </c>
      <c r="B1203" t="str">
        <f>"9780816599950"</f>
        <v>9780816599950</v>
      </c>
      <c r="C1203" t="s">
        <v>5347</v>
      </c>
      <c r="D1203" t="s">
        <v>5348</v>
      </c>
      <c r="E1203" t="s">
        <v>5208</v>
      </c>
      <c r="F1203" t="s">
        <v>5256</v>
      </c>
      <c r="G1203" t="s">
        <v>5349</v>
      </c>
      <c r="H1203" t="s">
        <v>5350</v>
      </c>
    </row>
    <row r="1204" spans="1:8" x14ac:dyDescent="0.35">
      <c r="A1204" t="s">
        <v>5351</v>
      </c>
      <c r="B1204" t="str">
        <f>"9780816599875"</f>
        <v>9780816599875</v>
      </c>
      <c r="C1204" t="s">
        <v>5352</v>
      </c>
      <c r="D1204" t="s">
        <v>5353</v>
      </c>
      <c r="E1204" t="s">
        <v>5208</v>
      </c>
      <c r="G1204" t="s">
        <v>3520</v>
      </c>
      <c r="H1204" t="s">
        <v>5354</v>
      </c>
    </row>
    <row r="1205" spans="1:8" x14ac:dyDescent="0.35">
      <c r="A1205" t="s">
        <v>5355</v>
      </c>
      <c r="B1205" t="str">
        <f>"9780816599974"</f>
        <v>9780816599974</v>
      </c>
      <c r="C1205" t="s">
        <v>5356</v>
      </c>
      <c r="D1205" t="s">
        <v>5357</v>
      </c>
      <c r="E1205" t="s">
        <v>5208</v>
      </c>
      <c r="F1205" t="s">
        <v>5358</v>
      </c>
      <c r="G1205" t="s">
        <v>2855</v>
      </c>
      <c r="H1205" t="s">
        <v>5359</v>
      </c>
    </row>
    <row r="1206" spans="1:8" x14ac:dyDescent="0.35">
      <c r="A1206" t="s">
        <v>5360</v>
      </c>
      <c r="B1206" t="str">
        <f>"9780816599899"</f>
        <v>9780816599899</v>
      </c>
      <c r="C1206" t="s">
        <v>5361</v>
      </c>
      <c r="D1206" t="s">
        <v>5362</v>
      </c>
      <c r="E1206" t="s">
        <v>5208</v>
      </c>
      <c r="F1206" t="s">
        <v>5247</v>
      </c>
      <c r="G1206" t="s">
        <v>83</v>
      </c>
      <c r="H1206" t="s">
        <v>5363</v>
      </c>
    </row>
    <row r="1207" spans="1:8" x14ac:dyDescent="0.35">
      <c r="A1207" t="s">
        <v>5364</v>
      </c>
      <c r="B1207" t="str">
        <f>"9780816599066"</f>
        <v>9780816599066</v>
      </c>
      <c r="C1207" t="s">
        <v>5365</v>
      </c>
      <c r="D1207" t="s">
        <v>5366</v>
      </c>
      <c r="E1207" t="s">
        <v>5208</v>
      </c>
      <c r="G1207" t="s">
        <v>44</v>
      </c>
      <c r="H1207" t="s">
        <v>5367</v>
      </c>
    </row>
    <row r="1208" spans="1:8" x14ac:dyDescent="0.35">
      <c r="A1208" t="s">
        <v>5368</v>
      </c>
      <c r="B1208" t="str">
        <f>"9780816599097"</f>
        <v>9780816599097</v>
      </c>
      <c r="C1208" t="s">
        <v>5369</v>
      </c>
      <c r="D1208" t="s">
        <v>5370</v>
      </c>
      <c r="E1208" t="s">
        <v>5208</v>
      </c>
      <c r="G1208" t="s">
        <v>761</v>
      </c>
      <c r="H1208" t="s">
        <v>5371</v>
      </c>
    </row>
    <row r="1209" spans="1:8" x14ac:dyDescent="0.35">
      <c r="A1209" t="s">
        <v>5372</v>
      </c>
      <c r="B1209" t="str">
        <f>"9780816501090"</f>
        <v>9780816501090</v>
      </c>
      <c r="C1209" t="s">
        <v>5373</v>
      </c>
      <c r="D1209" t="s">
        <v>5374</v>
      </c>
      <c r="E1209" t="s">
        <v>5208</v>
      </c>
      <c r="F1209" t="s">
        <v>5358</v>
      </c>
      <c r="G1209" t="s">
        <v>44</v>
      </c>
      <c r="H1209" t="s">
        <v>5375</v>
      </c>
    </row>
    <row r="1210" spans="1:8" x14ac:dyDescent="0.35">
      <c r="A1210" t="s">
        <v>5376</v>
      </c>
      <c r="B1210" t="str">
        <f>"9780816599103"</f>
        <v>9780816599103</v>
      </c>
      <c r="C1210" t="s">
        <v>5377</v>
      </c>
      <c r="D1210" t="s">
        <v>5378</v>
      </c>
      <c r="E1210" t="s">
        <v>5208</v>
      </c>
      <c r="G1210" t="s">
        <v>5379</v>
      </c>
      <c r="H1210" t="s">
        <v>5380</v>
      </c>
    </row>
    <row r="1211" spans="1:8" x14ac:dyDescent="0.35">
      <c r="A1211" t="s">
        <v>5381</v>
      </c>
      <c r="B1211" t="str">
        <f>"9780816599592"</f>
        <v>9780816599592</v>
      </c>
      <c r="C1211" t="s">
        <v>5382</v>
      </c>
      <c r="D1211" t="s">
        <v>5383</v>
      </c>
      <c r="E1211" t="s">
        <v>5208</v>
      </c>
      <c r="G1211" t="s">
        <v>39</v>
      </c>
      <c r="H1211" t="s">
        <v>5384</v>
      </c>
    </row>
    <row r="1212" spans="1:8" x14ac:dyDescent="0.35">
      <c r="A1212" t="s">
        <v>5385</v>
      </c>
      <c r="B1212" t="str">
        <f>"9780816599677"</f>
        <v>9780816599677</v>
      </c>
      <c r="C1212" t="s">
        <v>5386</v>
      </c>
      <c r="D1212" t="s">
        <v>5387</v>
      </c>
      <c r="E1212" t="s">
        <v>5208</v>
      </c>
      <c r="G1212" t="s">
        <v>1834</v>
      </c>
      <c r="H1212" t="s">
        <v>5388</v>
      </c>
    </row>
    <row r="1213" spans="1:8" x14ac:dyDescent="0.35">
      <c r="A1213" t="s">
        <v>5389</v>
      </c>
      <c r="B1213" t="str">
        <f>"9780816599158"</f>
        <v>9780816599158</v>
      </c>
      <c r="C1213" t="s">
        <v>5390</v>
      </c>
      <c r="D1213" t="s">
        <v>5391</v>
      </c>
      <c r="E1213" t="s">
        <v>5208</v>
      </c>
      <c r="G1213" t="s">
        <v>39</v>
      </c>
      <c r="H1213" t="s">
        <v>5392</v>
      </c>
    </row>
    <row r="1214" spans="1:8" x14ac:dyDescent="0.35">
      <c r="A1214" t="s">
        <v>5393</v>
      </c>
      <c r="B1214" t="str">
        <f>"9780816599110"</f>
        <v>9780816599110</v>
      </c>
      <c r="C1214" t="s">
        <v>5394</v>
      </c>
      <c r="D1214" t="s">
        <v>5395</v>
      </c>
      <c r="E1214" t="s">
        <v>5208</v>
      </c>
      <c r="G1214" t="s">
        <v>139</v>
      </c>
      <c r="H1214" t="s">
        <v>5396</v>
      </c>
    </row>
    <row r="1215" spans="1:8" x14ac:dyDescent="0.35">
      <c r="A1215" t="s">
        <v>5397</v>
      </c>
      <c r="B1215" t="str">
        <f>"9780816599165"</f>
        <v>9780816599165</v>
      </c>
      <c r="C1215" t="s">
        <v>5398</v>
      </c>
      <c r="D1215" t="s">
        <v>5399</v>
      </c>
      <c r="E1215" t="s">
        <v>5208</v>
      </c>
      <c r="G1215" t="s">
        <v>305</v>
      </c>
      <c r="H1215" t="s">
        <v>5400</v>
      </c>
    </row>
    <row r="1216" spans="1:8" x14ac:dyDescent="0.35">
      <c r="A1216" t="s">
        <v>5401</v>
      </c>
      <c r="B1216" t="str">
        <f>"9780816599578"</f>
        <v>9780816599578</v>
      </c>
      <c r="C1216" t="s">
        <v>5402</v>
      </c>
      <c r="D1216" t="s">
        <v>5403</v>
      </c>
      <c r="E1216" t="s">
        <v>5208</v>
      </c>
      <c r="G1216" t="s">
        <v>60</v>
      </c>
      <c r="H1216" t="s">
        <v>5404</v>
      </c>
    </row>
    <row r="1217" spans="1:8" x14ac:dyDescent="0.35">
      <c r="A1217" t="s">
        <v>5405</v>
      </c>
      <c r="B1217" t="str">
        <f>"9780816599134"</f>
        <v>9780816599134</v>
      </c>
      <c r="C1217" t="s">
        <v>5406</v>
      </c>
      <c r="D1217" t="s">
        <v>5407</v>
      </c>
      <c r="E1217" t="s">
        <v>5208</v>
      </c>
      <c r="G1217" t="s">
        <v>419</v>
      </c>
      <c r="H1217" t="s">
        <v>5408</v>
      </c>
    </row>
    <row r="1218" spans="1:8" x14ac:dyDescent="0.35">
      <c r="A1218" t="s">
        <v>5409</v>
      </c>
      <c r="B1218" t="str">
        <f>"9780816599080"</f>
        <v>9780816599080</v>
      </c>
      <c r="C1218" t="s">
        <v>5410</v>
      </c>
      <c r="D1218" t="s">
        <v>5411</v>
      </c>
      <c r="E1218" t="s">
        <v>5208</v>
      </c>
      <c r="G1218" t="s">
        <v>133</v>
      </c>
      <c r="H1218" t="s">
        <v>5412</v>
      </c>
    </row>
    <row r="1219" spans="1:8" x14ac:dyDescent="0.35">
      <c r="A1219" t="s">
        <v>5413</v>
      </c>
      <c r="B1219" t="str">
        <f>"9780816598816"</f>
        <v>9780816598816</v>
      </c>
      <c r="C1219" t="s">
        <v>5414</v>
      </c>
      <c r="D1219" t="s">
        <v>5415</v>
      </c>
      <c r="E1219" t="s">
        <v>5208</v>
      </c>
      <c r="G1219" t="s">
        <v>60</v>
      </c>
      <c r="H1219" t="s">
        <v>5416</v>
      </c>
    </row>
    <row r="1220" spans="1:8" x14ac:dyDescent="0.35">
      <c r="A1220" t="s">
        <v>5417</v>
      </c>
      <c r="B1220" t="str">
        <f>"9780816598830"</f>
        <v>9780816598830</v>
      </c>
      <c r="C1220" t="s">
        <v>5418</v>
      </c>
      <c r="D1220" t="s">
        <v>5419</v>
      </c>
      <c r="E1220" t="s">
        <v>5208</v>
      </c>
      <c r="G1220" t="s">
        <v>112</v>
      </c>
      <c r="H1220" t="s">
        <v>5420</v>
      </c>
    </row>
    <row r="1221" spans="1:8" x14ac:dyDescent="0.35">
      <c r="A1221" t="s">
        <v>5421</v>
      </c>
      <c r="B1221" t="str">
        <f>"9780816598908"</f>
        <v>9780816598908</v>
      </c>
      <c r="C1221" t="s">
        <v>5422</v>
      </c>
      <c r="D1221" t="s">
        <v>5423</v>
      </c>
      <c r="E1221" t="s">
        <v>5208</v>
      </c>
      <c r="F1221" t="s">
        <v>5230</v>
      </c>
      <c r="G1221" t="s">
        <v>5424</v>
      </c>
      <c r="H1221" t="s">
        <v>5425</v>
      </c>
    </row>
    <row r="1222" spans="1:8" x14ac:dyDescent="0.35">
      <c r="A1222" t="s">
        <v>5426</v>
      </c>
      <c r="B1222" t="str">
        <f>"9780816598977"</f>
        <v>9780816598977</v>
      </c>
      <c r="C1222" t="s">
        <v>5427</v>
      </c>
      <c r="D1222" t="s">
        <v>5428</v>
      </c>
      <c r="E1222" t="s">
        <v>5208</v>
      </c>
      <c r="G1222" t="s">
        <v>112</v>
      </c>
      <c r="H1222" t="s">
        <v>5429</v>
      </c>
    </row>
    <row r="1223" spans="1:8" x14ac:dyDescent="0.35">
      <c r="A1223" t="s">
        <v>5430</v>
      </c>
      <c r="B1223" t="str">
        <f>"9780816598861"</f>
        <v>9780816598861</v>
      </c>
      <c r="C1223" t="s">
        <v>5431</v>
      </c>
      <c r="D1223" t="s">
        <v>5432</v>
      </c>
      <c r="E1223" t="s">
        <v>5208</v>
      </c>
      <c r="G1223" t="s">
        <v>96</v>
      </c>
      <c r="H1223" t="s">
        <v>5433</v>
      </c>
    </row>
    <row r="1224" spans="1:8" x14ac:dyDescent="0.35">
      <c r="A1224" t="s">
        <v>5434</v>
      </c>
      <c r="B1224" t="str">
        <f>"9780816598915"</f>
        <v>9780816598915</v>
      </c>
      <c r="C1224" t="s">
        <v>5435</v>
      </c>
      <c r="D1224" t="s">
        <v>5436</v>
      </c>
      <c r="E1224" t="s">
        <v>5208</v>
      </c>
      <c r="G1224" t="s">
        <v>186</v>
      </c>
      <c r="H1224" t="s">
        <v>5437</v>
      </c>
    </row>
    <row r="1225" spans="1:8" x14ac:dyDescent="0.35">
      <c r="A1225" t="s">
        <v>5438</v>
      </c>
      <c r="B1225" t="str">
        <f>"9780816599004"</f>
        <v>9780816599004</v>
      </c>
      <c r="C1225" t="s">
        <v>5439</v>
      </c>
      <c r="D1225" t="s">
        <v>5440</v>
      </c>
      <c r="E1225" t="s">
        <v>5208</v>
      </c>
      <c r="G1225" t="s">
        <v>39</v>
      </c>
      <c r="H1225" t="s">
        <v>5441</v>
      </c>
    </row>
    <row r="1226" spans="1:8" x14ac:dyDescent="0.35">
      <c r="A1226" t="s">
        <v>5442</v>
      </c>
      <c r="B1226" t="str">
        <f>"9780816598960"</f>
        <v>9780816598960</v>
      </c>
      <c r="C1226" t="s">
        <v>5443</v>
      </c>
      <c r="D1226" t="s">
        <v>5444</v>
      </c>
      <c r="E1226" t="s">
        <v>5208</v>
      </c>
      <c r="G1226" t="s">
        <v>60</v>
      </c>
      <c r="H1226" t="s">
        <v>5445</v>
      </c>
    </row>
    <row r="1227" spans="1:8" x14ac:dyDescent="0.35">
      <c r="A1227" t="s">
        <v>5446</v>
      </c>
      <c r="B1227" t="str">
        <f>"9780816598953"</f>
        <v>9780816598953</v>
      </c>
      <c r="C1227" t="s">
        <v>5447</v>
      </c>
      <c r="D1227" t="s">
        <v>5448</v>
      </c>
      <c r="E1227" t="s">
        <v>5208</v>
      </c>
      <c r="G1227" t="s">
        <v>5449</v>
      </c>
      <c r="H1227" t="s">
        <v>5450</v>
      </c>
    </row>
    <row r="1228" spans="1:8" x14ac:dyDescent="0.35">
      <c r="A1228" t="s">
        <v>5451</v>
      </c>
      <c r="B1228" t="str">
        <f>"9780816598793"</f>
        <v>9780816598793</v>
      </c>
      <c r="C1228" t="s">
        <v>5452</v>
      </c>
      <c r="D1228" t="s">
        <v>5453</v>
      </c>
      <c r="E1228" t="s">
        <v>5208</v>
      </c>
      <c r="G1228" t="s">
        <v>5454</v>
      </c>
      <c r="H1228" t="s">
        <v>5455</v>
      </c>
    </row>
    <row r="1229" spans="1:8" x14ac:dyDescent="0.35">
      <c r="A1229" t="s">
        <v>5456</v>
      </c>
      <c r="B1229" t="str">
        <f>"9780816598649"</f>
        <v>9780816598649</v>
      </c>
      <c r="C1229" t="s">
        <v>5457</v>
      </c>
      <c r="D1229" t="s">
        <v>5458</v>
      </c>
      <c r="E1229" t="s">
        <v>5208</v>
      </c>
      <c r="G1229" t="s">
        <v>55</v>
      </c>
      <c r="H1229" t="s">
        <v>5459</v>
      </c>
    </row>
    <row r="1230" spans="1:8" x14ac:dyDescent="0.35">
      <c r="A1230" t="s">
        <v>5460</v>
      </c>
      <c r="B1230" t="str">
        <f>"9780816598564"</f>
        <v>9780816598564</v>
      </c>
      <c r="C1230" t="s">
        <v>5461</v>
      </c>
      <c r="D1230" t="s">
        <v>5462</v>
      </c>
      <c r="E1230" t="s">
        <v>5208</v>
      </c>
      <c r="F1230" t="s">
        <v>5247</v>
      </c>
      <c r="G1230" t="s">
        <v>139</v>
      </c>
      <c r="H1230" t="s">
        <v>5463</v>
      </c>
    </row>
    <row r="1231" spans="1:8" x14ac:dyDescent="0.35">
      <c r="A1231" t="s">
        <v>5464</v>
      </c>
      <c r="B1231" t="str">
        <f>"9780816598632"</f>
        <v>9780816598632</v>
      </c>
      <c r="C1231" t="s">
        <v>5465</v>
      </c>
      <c r="D1231" t="s">
        <v>5466</v>
      </c>
      <c r="E1231" t="s">
        <v>5208</v>
      </c>
      <c r="G1231" t="s">
        <v>60</v>
      </c>
      <c r="H1231" t="s">
        <v>5467</v>
      </c>
    </row>
    <row r="1232" spans="1:8" x14ac:dyDescent="0.35">
      <c r="A1232" t="s">
        <v>5468</v>
      </c>
      <c r="B1232" t="str">
        <f>"9780816598755"</f>
        <v>9780816598755</v>
      </c>
      <c r="C1232" t="s">
        <v>5469</v>
      </c>
      <c r="D1232" t="s">
        <v>5470</v>
      </c>
      <c r="E1232" t="s">
        <v>5208</v>
      </c>
      <c r="G1232" t="s">
        <v>60</v>
      </c>
      <c r="H1232" t="s">
        <v>5471</v>
      </c>
    </row>
    <row r="1233" spans="1:8" x14ac:dyDescent="0.35">
      <c r="A1233" t="s">
        <v>5472</v>
      </c>
      <c r="B1233" t="str">
        <f>"9780816598571"</f>
        <v>9780816598571</v>
      </c>
      <c r="C1233" t="s">
        <v>5473</v>
      </c>
      <c r="D1233" t="s">
        <v>5474</v>
      </c>
      <c r="E1233" t="s">
        <v>5208</v>
      </c>
      <c r="G1233" t="s">
        <v>39</v>
      </c>
      <c r="H1233" t="s">
        <v>5475</v>
      </c>
    </row>
    <row r="1234" spans="1:8" x14ac:dyDescent="0.35">
      <c r="A1234" t="s">
        <v>5476</v>
      </c>
      <c r="B1234" t="str">
        <f>"9780816501731"</f>
        <v>9780816501731</v>
      </c>
      <c r="C1234" t="s">
        <v>5477</v>
      </c>
      <c r="D1234" t="s">
        <v>5478</v>
      </c>
      <c r="E1234" t="s">
        <v>5208</v>
      </c>
      <c r="G1234" t="s">
        <v>60</v>
      </c>
      <c r="H1234" t="s">
        <v>5479</v>
      </c>
    </row>
    <row r="1235" spans="1:8" x14ac:dyDescent="0.35">
      <c r="A1235" t="s">
        <v>5480</v>
      </c>
      <c r="B1235" t="str">
        <f>"9780816501847"</f>
        <v>9780816501847</v>
      </c>
      <c r="C1235" t="s">
        <v>5481</v>
      </c>
      <c r="D1235" t="s">
        <v>5482</v>
      </c>
      <c r="E1235" t="s">
        <v>5208</v>
      </c>
      <c r="G1235" t="s">
        <v>5483</v>
      </c>
      <c r="H1235" t="s">
        <v>5484</v>
      </c>
    </row>
    <row r="1236" spans="1:8" x14ac:dyDescent="0.35">
      <c r="A1236" t="s">
        <v>5485</v>
      </c>
      <c r="B1236" t="str">
        <f>"9780816502035"</f>
        <v>9780816502035</v>
      </c>
      <c r="C1236" t="s">
        <v>5486</v>
      </c>
      <c r="D1236" t="s">
        <v>5487</v>
      </c>
      <c r="E1236" t="s">
        <v>5208</v>
      </c>
      <c r="G1236" t="s">
        <v>885</v>
      </c>
      <c r="H1236" t="s">
        <v>5488</v>
      </c>
    </row>
    <row r="1237" spans="1:8" x14ac:dyDescent="0.35">
      <c r="A1237" t="s">
        <v>5489</v>
      </c>
      <c r="B1237" t="str">
        <f>"9780816531752"</f>
        <v>9780816531752</v>
      </c>
      <c r="C1237" t="s">
        <v>5490</v>
      </c>
      <c r="D1237" t="s">
        <v>5491</v>
      </c>
      <c r="E1237" t="s">
        <v>5208</v>
      </c>
      <c r="F1237" t="s">
        <v>5256</v>
      </c>
      <c r="G1237" t="s">
        <v>5492</v>
      </c>
      <c r="H1237" t="s">
        <v>5493</v>
      </c>
    </row>
    <row r="1238" spans="1:8" x14ac:dyDescent="0.35">
      <c r="A1238" t="s">
        <v>5494</v>
      </c>
      <c r="B1238" t="str">
        <f>"9780252093029"</f>
        <v>9780252093029</v>
      </c>
      <c r="C1238" t="s">
        <v>5495</v>
      </c>
      <c r="D1238" t="s">
        <v>5496</v>
      </c>
      <c r="E1238" t="s">
        <v>5497</v>
      </c>
      <c r="F1238" t="s">
        <v>5498</v>
      </c>
      <c r="G1238" t="s">
        <v>55</v>
      </c>
      <c r="H1238" t="s">
        <v>5499</v>
      </c>
    </row>
    <row r="1239" spans="1:8" x14ac:dyDescent="0.35">
      <c r="A1239" t="s">
        <v>5500</v>
      </c>
      <c r="B1239" t="str">
        <f>"9780252093470"</f>
        <v>9780252093470</v>
      </c>
      <c r="C1239" t="s">
        <v>5501</v>
      </c>
      <c r="D1239" t="s">
        <v>5502</v>
      </c>
      <c r="E1239" t="s">
        <v>5497</v>
      </c>
      <c r="F1239" t="s">
        <v>5498</v>
      </c>
      <c r="G1239" t="s">
        <v>1047</v>
      </c>
      <c r="H1239" t="s">
        <v>5503</v>
      </c>
    </row>
    <row r="1240" spans="1:8" x14ac:dyDescent="0.35">
      <c r="A1240" t="s">
        <v>5504</v>
      </c>
      <c r="B1240" t="str">
        <f>"9780252093494"</f>
        <v>9780252093494</v>
      </c>
      <c r="C1240" t="s">
        <v>5505</v>
      </c>
      <c r="D1240" t="s">
        <v>5506</v>
      </c>
      <c r="E1240" t="s">
        <v>5497</v>
      </c>
      <c r="F1240" t="s">
        <v>5498</v>
      </c>
      <c r="G1240" t="s">
        <v>55</v>
      </c>
      <c r="H1240" t="s">
        <v>5507</v>
      </c>
    </row>
    <row r="1241" spans="1:8" x14ac:dyDescent="0.35">
      <c r="A1241" t="s">
        <v>5508</v>
      </c>
      <c r="B1241" t="str">
        <f>"9780252091421"</f>
        <v>9780252091421</v>
      </c>
      <c r="C1241" t="s">
        <v>5509</v>
      </c>
      <c r="D1241" t="s">
        <v>5510</v>
      </c>
      <c r="E1241" t="s">
        <v>5497</v>
      </c>
      <c r="G1241" t="s">
        <v>55</v>
      </c>
      <c r="H1241" t="s">
        <v>5511</v>
      </c>
    </row>
    <row r="1242" spans="1:8" x14ac:dyDescent="0.35">
      <c r="A1242" t="s">
        <v>5512</v>
      </c>
      <c r="B1242" t="str">
        <f>"9780252092329"</f>
        <v>9780252092329</v>
      </c>
      <c r="C1242" t="s">
        <v>5513</v>
      </c>
      <c r="D1242" t="s">
        <v>5514</v>
      </c>
      <c r="E1242" t="s">
        <v>5497</v>
      </c>
      <c r="G1242" t="s">
        <v>139</v>
      </c>
      <c r="H1242" t="s">
        <v>5515</v>
      </c>
    </row>
    <row r="1243" spans="1:8" x14ac:dyDescent="0.35">
      <c r="A1243" t="s">
        <v>5516</v>
      </c>
      <c r="B1243" t="str">
        <f>"9780252091827"</f>
        <v>9780252091827</v>
      </c>
      <c r="C1243" t="s">
        <v>5517</v>
      </c>
      <c r="D1243" t="s">
        <v>5518</v>
      </c>
      <c r="E1243" t="s">
        <v>5497</v>
      </c>
      <c r="G1243" t="s">
        <v>139</v>
      </c>
      <c r="H1243" t="s">
        <v>5519</v>
      </c>
    </row>
    <row r="1244" spans="1:8" x14ac:dyDescent="0.35">
      <c r="A1244" t="s">
        <v>5520</v>
      </c>
      <c r="B1244" t="str">
        <f>"9780252090028"</f>
        <v>9780252090028</v>
      </c>
      <c r="C1244" t="s">
        <v>5521</v>
      </c>
      <c r="D1244" t="s">
        <v>5522</v>
      </c>
      <c r="E1244" t="s">
        <v>5497</v>
      </c>
      <c r="G1244" t="s">
        <v>139</v>
      </c>
      <c r="H1244" t="s">
        <v>5523</v>
      </c>
    </row>
    <row r="1245" spans="1:8" x14ac:dyDescent="0.35">
      <c r="A1245" t="s">
        <v>5524</v>
      </c>
      <c r="B1245" t="str">
        <f>"9780252090110"</f>
        <v>9780252090110</v>
      </c>
      <c r="C1245" t="s">
        <v>5525</v>
      </c>
      <c r="D1245" t="s">
        <v>5526</v>
      </c>
      <c r="E1245" t="s">
        <v>5497</v>
      </c>
      <c r="F1245" t="s">
        <v>5527</v>
      </c>
      <c r="G1245" t="s">
        <v>139</v>
      </c>
      <c r="H1245" t="s">
        <v>5528</v>
      </c>
    </row>
    <row r="1246" spans="1:8" x14ac:dyDescent="0.35">
      <c r="A1246" t="s">
        <v>5529</v>
      </c>
      <c r="B1246" t="str">
        <f>"9780252090141"</f>
        <v>9780252090141</v>
      </c>
      <c r="C1246" t="s">
        <v>5530</v>
      </c>
      <c r="D1246" t="s">
        <v>5531</v>
      </c>
      <c r="E1246" t="s">
        <v>5497</v>
      </c>
      <c r="F1246" t="s">
        <v>5498</v>
      </c>
      <c r="G1246" t="s">
        <v>139</v>
      </c>
      <c r="H1246" t="s">
        <v>5532</v>
      </c>
    </row>
    <row r="1247" spans="1:8" x14ac:dyDescent="0.35">
      <c r="A1247" t="s">
        <v>5533</v>
      </c>
      <c r="B1247" t="str">
        <f>"9780252094378"</f>
        <v>9780252094378</v>
      </c>
      <c r="C1247" t="s">
        <v>5534</v>
      </c>
      <c r="D1247" t="s">
        <v>5535</v>
      </c>
      <c r="E1247" t="s">
        <v>5497</v>
      </c>
      <c r="G1247" t="s">
        <v>139</v>
      </c>
      <c r="H1247" t="s">
        <v>5536</v>
      </c>
    </row>
    <row r="1248" spans="1:8" x14ac:dyDescent="0.35">
      <c r="A1248" t="s">
        <v>5537</v>
      </c>
      <c r="B1248" t="str">
        <f>"9780252090264"</f>
        <v>9780252090264</v>
      </c>
      <c r="C1248" t="s">
        <v>5538</v>
      </c>
      <c r="D1248" t="s">
        <v>5539</v>
      </c>
      <c r="E1248" t="s">
        <v>5497</v>
      </c>
      <c r="F1248" t="s">
        <v>5498</v>
      </c>
      <c r="G1248" t="s">
        <v>83</v>
      </c>
      <c r="H1248" t="s">
        <v>5540</v>
      </c>
    </row>
    <row r="1249" spans="1:8" x14ac:dyDescent="0.35">
      <c r="A1249" t="s">
        <v>5541</v>
      </c>
      <c r="B1249" t="str">
        <f>"9780252094804"</f>
        <v>9780252094804</v>
      </c>
      <c r="C1249" t="s">
        <v>5542</v>
      </c>
      <c r="D1249" t="s">
        <v>5543</v>
      </c>
      <c r="E1249" t="s">
        <v>5497</v>
      </c>
      <c r="F1249" t="s">
        <v>5544</v>
      </c>
      <c r="G1249" t="s">
        <v>17</v>
      </c>
      <c r="H1249" t="s">
        <v>5545</v>
      </c>
    </row>
    <row r="1250" spans="1:8" x14ac:dyDescent="0.35">
      <c r="A1250" t="s">
        <v>5546</v>
      </c>
      <c r="B1250" t="str">
        <f>"9780252094729"</f>
        <v>9780252094729</v>
      </c>
      <c r="C1250" t="s">
        <v>5547</v>
      </c>
      <c r="D1250" t="s">
        <v>5548</v>
      </c>
      <c r="E1250" t="s">
        <v>5497</v>
      </c>
      <c r="F1250" t="s">
        <v>5549</v>
      </c>
      <c r="G1250" t="s">
        <v>55</v>
      </c>
      <c r="H1250" t="s">
        <v>5550</v>
      </c>
    </row>
    <row r="1251" spans="1:8" x14ac:dyDescent="0.35">
      <c r="A1251" t="s">
        <v>5551</v>
      </c>
      <c r="B1251" t="str">
        <f>"9780252094927"</f>
        <v>9780252094927</v>
      </c>
      <c r="C1251" t="s">
        <v>5552</v>
      </c>
      <c r="D1251" t="s">
        <v>5553</v>
      </c>
      <c r="E1251" t="s">
        <v>5497</v>
      </c>
      <c r="F1251" t="s">
        <v>5544</v>
      </c>
      <c r="G1251" t="s">
        <v>83</v>
      </c>
      <c r="H1251" t="s">
        <v>5554</v>
      </c>
    </row>
    <row r="1252" spans="1:8" x14ac:dyDescent="0.35">
      <c r="A1252" t="s">
        <v>5555</v>
      </c>
      <c r="B1252" t="str">
        <f>"9780252094934"</f>
        <v>9780252094934</v>
      </c>
      <c r="C1252" t="s">
        <v>5556</v>
      </c>
      <c r="D1252" t="s">
        <v>5557</v>
      </c>
      <c r="E1252" t="s">
        <v>5497</v>
      </c>
      <c r="F1252" t="s">
        <v>5544</v>
      </c>
      <c r="G1252" t="s">
        <v>55</v>
      </c>
      <c r="H1252" t="s">
        <v>5558</v>
      </c>
    </row>
    <row r="1253" spans="1:8" x14ac:dyDescent="0.35">
      <c r="A1253" t="s">
        <v>5559</v>
      </c>
      <c r="B1253" t="str">
        <f>"9780252094910"</f>
        <v>9780252094910</v>
      </c>
      <c r="C1253" t="s">
        <v>5560</v>
      </c>
      <c r="D1253" t="s">
        <v>5561</v>
      </c>
      <c r="E1253" t="s">
        <v>5497</v>
      </c>
      <c r="G1253" t="s">
        <v>133</v>
      </c>
      <c r="H1253" t="s">
        <v>5562</v>
      </c>
    </row>
    <row r="1254" spans="1:8" x14ac:dyDescent="0.35">
      <c r="A1254" t="s">
        <v>5563</v>
      </c>
      <c r="B1254" t="str">
        <f>"9780252095191"</f>
        <v>9780252095191</v>
      </c>
      <c r="C1254" t="s">
        <v>5564</v>
      </c>
      <c r="D1254" t="s">
        <v>5565</v>
      </c>
      <c r="E1254" t="s">
        <v>5497</v>
      </c>
      <c r="F1254" t="s">
        <v>5566</v>
      </c>
      <c r="G1254" t="s">
        <v>39</v>
      </c>
      <c r="H1254" t="s">
        <v>5567</v>
      </c>
    </row>
    <row r="1255" spans="1:8" x14ac:dyDescent="0.35">
      <c r="A1255" t="s">
        <v>5568</v>
      </c>
      <c r="B1255" t="str">
        <f>"9780252096181"</f>
        <v>9780252096181</v>
      </c>
      <c r="C1255" t="s">
        <v>5569</v>
      </c>
      <c r="D1255" t="s">
        <v>5570</v>
      </c>
      <c r="E1255" t="s">
        <v>5497</v>
      </c>
      <c r="F1255" t="s">
        <v>5498</v>
      </c>
      <c r="G1255" t="s">
        <v>83</v>
      </c>
      <c r="H1255" t="s">
        <v>5571</v>
      </c>
    </row>
    <row r="1256" spans="1:8" x14ac:dyDescent="0.35">
      <c r="A1256" t="s">
        <v>5572</v>
      </c>
      <c r="B1256" t="str">
        <f>"9780252096471"</f>
        <v>9780252096471</v>
      </c>
      <c r="C1256" t="s">
        <v>5573</v>
      </c>
      <c r="D1256" t="s">
        <v>5574</v>
      </c>
      <c r="E1256" t="s">
        <v>5497</v>
      </c>
      <c r="F1256" t="s">
        <v>5575</v>
      </c>
      <c r="G1256" t="s">
        <v>180</v>
      </c>
      <c r="H1256" t="s">
        <v>5576</v>
      </c>
    </row>
    <row r="1257" spans="1:8" x14ac:dyDescent="0.35">
      <c r="A1257" t="s">
        <v>5577</v>
      </c>
      <c r="B1257" t="str">
        <f>"9780252096921"</f>
        <v>9780252096921</v>
      </c>
      <c r="C1257" t="s">
        <v>5578</v>
      </c>
      <c r="D1257" t="s">
        <v>5579</v>
      </c>
      <c r="E1257" t="s">
        <v>5497</v>
      </c>
      <c r="G1257" t="s">
        <v>60</v>
      </c>
      <c r="H1257" t="s">
        <v>5580</v>
      </c>
    </row>
    <row r="1258" spans="1:8" x14ac:dyDescent="0.35">
      <c r="A1258" t="s">
        <v>5581</v>
      </c>
      <c r="B1258" t="str">
        <f>"9780252096747"</f>
        <v>9780252096747</v>
      </c>
      <c r="C1258" t="s">
        <v>5582</v>
      </c>
      <c r="D1258" t="s">
        <v>5583</v>
      </c>
      <c r="E1258" t="s">
        <v>5497</v>
      </c>
      <c r="G1258" t="s">
        <v>60</v>
      </c>
      <c r="H1258" t="s">
        <v>5584</v>
      </c>
    </row>
    <row r="1259" spans="1:8" x14ac:dyDescent="0.35">
      <c r="A1259" t="s">
        <v>5585</v>
      </c>
      <c r="B1259" t="str">
        <f>"9780252097157"</f>
        <v>9780252097157</v>
      </c>
      <c r="C1259" t="s">
        <v>5586</v>
      </c>
      <c r="D1259" t="s">
        <v>5587</v>
      </c>
      <c r="E1259" t="s">
        <v>5497</v>
      </c>
      <c r="F1259" t="s">
        <v>5549</v>
      </c>
      <c r="G1259" t="s">
        <v>39</v>
      </c>
      <c r="H1259" t="s">
        <v>5588</v>
      </c>
    </row>
    <row r="1260" spans="1:8" x14ac:dyDescent="0.35">
      <c r="A1260" t="s">
        <v>5589</v>
      </c>
      <c r="B1260" t="str">
        <f>"9780472021987"</f>
        <v>9780472021987</v>
      </c>
      <c r="C1260" t="s">
        <v>5590</v>
      </c>
      <c r="D1260" t="s">
        <v>5591</v>
      </c>
      <c r="E1260" t="s">
        <v>5592</v>
      </c>
      <c r="G1260" t="s">
        <v>39</v>
      </c>
      <c r="H1260" t="s">
        <v>5593</v>
      </c>
    </row>
    <row r="1261" spans="1:8" x14ac:dyDescent="0.35">
      <c r="A1261" t="s">
        <v>5594</v>
      </c>
      <c r="B1261" t="str">
        <f>"9780472021857"</f>
        <v>9780472021857</v>
      </c>
      <c r="C1261" t="s">
        <v>5595</v>
      </c>
      <c r="D1261" t="s">
        <v>5596</v>
      </c>
      <c r="E1261" t="s">
        <v>5592</v>
      </c>
      <c r="F1261" t="s">
        <v>5597</v>
      </c>
      <c r="G1261" t="s">
        <v>96</v>
      </c>
      <c r="H1261" t="s">
        <v>5598</v>
      </c>
    </row>
    <row r="1262" spans="1:8" x14ac:dyDescent="0.35">
      <c r="A1262" t="s">
        <v>5599</v>
      </c>
      <c r="B1262" t="str">
        <f>"9780472028641"</f>
        <v>9780472028641</v>
      </c>
      <c r="C1262" t="s">
        <v>5600</v>
      </c>
      <c r="D1262" t="s">
        <v>5601</v>
      </c>
      <c r="E1262" t="s">
        <v>5592</v>
      </c>
      <c r="F1262" t="s">
        <v>5602</v>
      </c>
      <c r="G1262" t="s">
        <v>139</v>
      </c>
      <c r="H1262" t="s">
        <v>5603</v>
      </c>
    </row>
    <row r="1263" spans="1:8" x14ac:dyDescent="0.35">
      <c r="A1263" t="s">
        <v>5604</v>
      </c>
      <c r="B1263" t="str">
        <f>"9780300135329"</f>
        <v>9780300135329</v>
      </c>
      <c r="C1263" t="s">
        <v>5605</v>
      </c>
      <c r="D1263" t="s">
        <v>5606</v>
      </c>
      <c r="E1263" t="s">
        <v>5607</v>
      </c>
      <c r="G1263" t="s">
        <v>44</v>
      </c>
      <c r="H1263" t="s">
        <v>5608</v>
      </c>
    </row>
    <row r="1264" spans="1:8" x14ac:dyDescent="0.35">
      <c r="A1264" t="s">
        <v>5609</v>
      </c>
      <c r="B1264" t="str">
        <f>"9780300145267"</f>
        <v>9780300145267</v>
      </c>
      <c r="C1264" t="s">
        <v>5610</v>
      </c>
      <c r="D1264" t="s">
        <v>5611</v>
      </c>
      <c r="E1264" t="s">
        <v>5607</v>
      </c>
      <c r="G1264" t="s">
        <v>44</v>
      </c>
      <c r="H1264" t="s">
        <v>5612</v>
      </c>
    </row>
    <row r="1265" spans="1:8" x14ac:dyDescent="0.35">
      <c r="A1265" t="s">
        <v>5613</v>
      </c>
      <c r="B1265" t="str">
        <f>"9780300156034"</f>
        <v>9780300156034</v>
      </c>
      <c r="C1265" t="s">
        <v>5614</v>
      </c>
      <c r="D1265" t="s">
        <v>5615</v>
      </c>
      <c r="E1265" t="s">
        <v>5607</v>
      </c>
      <c r="G1265" t="s">
        <v>186</v>
      </c>
      <c r="H1265" t="s">
        <v>5616</v>
      </c>
    </row>
    <row r="1266" spans="1:8" x14ac:dyDescent="0.35">
      <c r="A1266" t="s">
        <v>5617</v>
      </c>
      <c r="B1266" t="str">
        <f>"9780300150537"</f>
        <v>9780300150537</v>
      </c>
      <c r="C1266" t="s">
        <v>5618</v>
      </c>
      <c r="D1266" t="s">
        <v>5619</v>
      </c>
      <c r="E1266" t="s">
        <v>5607</v>
      </c>
      <c r="G1266" t="s">
        <v>186</v>
      </c>
      <c r="H1266" t="s">
        <v>5620</v>
      </c>
    </row>
    <row r="1267" spans="1:8" x14ac:dyDescent="0.35">
      <c r="A1267" t="s">
        <v>5621</v>
      </c>
      <c r="B1267" t="str">
        <f>"9780300144963"</f>
        <v>9780300144963</v>
      </c>
      <c r="C1267" t="s">
        <v>5622</v>
      </c>
      <c r="D1267" t="s">
        <v>5623</v>
      </c>
      <c r="E1267" t="s">
        <v>5607</v>
      </c>
      <c r="G1267" t="s">
        <v>60</v>
      </c>
      <c r="H1267" t="s">
        <v>5624</v>
      </c>
    </row>
    <row r="1268" spans="1:8" x14ac:dyDescent="0.35">
      <c r="A1268" t="s">
        <v>5625</v>
      </c>
      <c r="B1268" t="str">
        <f>"9780300142464"</f>
        <v>9780300142464</v>
      </c>
      <c r="C1268" t="s">
        <v>5626</v>
      </c>
      <c r="D1268" t="s">
        <v>5627</v>
      </c>
      <c r="E1268" t="s">
        <v>5607</v>
      </c>
      <c r="G1268" t="s">
        <v>17</v>
      </c>
      <c r="H1268" t="s">
        <v>5628</v>
      </c>
    </row>
    <row r="1269" spans="1:8" x14ac:dyDescent="0.35">
      <c r="A1269" t="s">
        <v>5629</v>
      </c>
      <c r="B1269" t="str">
        <f>"9780300156218"</f>
        <v>9780300156218</v>
      </c>
      <c r="C1269" t="s">
        <v>5630</v>
      </c>
      <c r="D1269" t="s">
        <v>5631</v>
      </c>
      <c r="E1269" t="s">
        <v>5607</v>
      </c>
      <c r="G1269" t="s">
        <v>44</v>
      </c>
      <c r="H1269" t="s">
        <v>5632</v>
      </c>
    </row>
    <row r="1270" spans="1:8" x14ac:dyDescent="0.35">
      <c r="A1270" t="s">
        <v>5633</v>
      </c>
      <c r="B1270" t="str">
        <f>"9780300151695"</f>
        <v>9780300151695</v>
      </c>
      <c r="C1270" t="s">
        <v>5634</v>
      </c>
      <c r="D1270" t="s">
        <v>5635</v>
      </c>
      <c r="E1270" t="s">
        <v>5607</v>
      </c>
      <c r="G1270" t="s">
        <v>1116</v>
      </c>
      <c r="H1270" t="s">
        <v>5636</v>
      </c>
    </row>
    <row r="1271" spans="1:8" x14ac:dyDescent="0.35">
      <c r="A1271" t="s">
        <v>5637</v>
      </c>
      <c r="B1271" t="str">
        <f>"9780300160017"</f>
        <v>9780300160017</v>
      </c>
      <c r="C1271" t="s">
        <v>5638</v>
      </c>
      <c r="D1271" t="s">
        <v>5639</v>
      </c>
      <c r="E1271" t="s">
        <v>5607</v>
      </c>
      <c r="G1271" t="s">
        <v>44</v>
      </c>
      <c r="H1271" t="s">
        <v>5640</v>
      </c>
    </row>
    <row r="1272" spans="1:8" x14ac:dyDescent="0.35">
      <c r="A1272" t="s">
        <v>5641</v>
      </c>
      <c r="B1272" t="str">
        <f>"9780300168723"</f>
        <v>9780300168723</v>
      </c>
      <c r="C1272" t="s">
        <v>5642</v>
      </c>
      <c r="D1272" t="s">
        <v>5643</v>
      </c>
      <c r="E1272" t="s">
        <v>5607</v>
      </c>
      <c r="F1272" t="s">
        <v>5644</v>
      </c>
      <c r="G1272" t="s">
        <v>60</v>
      </c>
      <c r="H1272" t="s">
        <v>5645</v>
      </c>
    </row>
    <row r="1273" spans="1:8" x14ac:dyDescent="0.35">
      <c r="A1273" t="s">
        <v>5646</v>
      </c>
      <c r="B1273" t="str">
        <f>"9780300160321"</f>
        <v>9780300160321</v>
      </c>
      <c r="C1273" t="s">
        <v>5647</v>
      </c>
      <c r="D1273" t="s">
        <v>5648</v>
      </c>
      <c r="E1273" t="s">
        <v>5607</v>
      </c>
      <c r="G1273" t="s">
        <v>44</v>
      </c>
      <c r="H1273" t="s">
        <v>5649</v>
      </c>
    </row>
    <row r="1274" spans="1:8" x14ac:dyDescent="0.35">
      <c r="A1274" t="s">
        <v>5650</v>
      </c>
      <c r="B1274" t="str">
        <f>"9780300183740"</f>
        <v>9780300183740</v>
      </c>
      <c r="C1274" t="s">
        <v>5651</v>
      </c>
      <c r="D1274" t="s">
        <v>5652</v>
      </c>
      <c r="E1274" t="s">
        <v>5607</v>
      </c>
      <c r="G1274" t="s">
        <v>186</v>
      </c>
      <c r="H1274" t="s">
        <v>5653</v>
      </c>
    </row>
    <row r="1275" spans="1:8" x14ac:dyDescent="0.35">
      <c r="A1275" t="s">
        <v>5654</v>
      </c>
      <c r="B1275" t="str">
        <f>"9780300164701"</f>
        <v>9780300164701</v>
      </c>
      <c r="C1275" t="s">
        <v>5655</v>
      </c>
      <c r="D1275" t="s">
        <v>5656</v>
      </c>
      <c r="E1275" t="s">
        <v>5607</v>
      </c>
      <c r="G1275" t="s">
        <v>5657</v>
      </c>
      <c r="H1275" t="s">
        <v>5658</v>
      </c>
    </row>
    <row r="1276" spans="1:8" x14ac:dyDescent="0.35">
      <c r="A1276" t="s">
        <v>5659</v>
      </c>
      <c r="B1276" t="str">
        <f>"9780300168761"</f>
        <v>9780300168761</v>
      </c>
      <c r="C1276" t="s">
        <v>5660</v>
      </c>
      <c r="D1276" t="s">
        <v>5661</v>
      </c>
      <c r="E1276" t="s">
        <v>5607</v>
      </c>
      <c r="G1276" t="s">
        <v>55</v>
      </c>
      <c r="H1276" t="s">
        <v>5662</v>
      </c>
    </row>
    <row r="1277" spans="1:8" x14ac:dyDescent="0.35">
      <c r="A1277" t="s">
        <v>5663</v>
      </c>
      <c r="B1277" t="str">
        <f>"9781552387856"</f>
        <v>9781552387856</v>
      </c>
      <c r="C1277" t="s">
        <v>5664</v>
      </c>
      <c r="D1277" t="s">
        <v>5665</v>
      </c>
      <c r="E1277" t="s">
        <v>4806</v>
      </c>
      <c r="F1277" t="s">
        <v>4807</v>
      </c>
      <c r="G1277" t="s">
        <v>60</v>
      </c>
      <c r="H1277" t="s">
        <v>5666</v>
      </c>
    </row>
    <row r="1278" spans="1:8" x14ac:dyDescent="0.35">
      <c r="A1278" t="s">
        <v>5667</v>
      </c>
      <c r="B1278" t="str">
        <f>"9781626373181"</f>
        <v>9781626373181</v>
      </c>
      <c r="C1278" t="s">
        <v>5668</v>
      </c>
      <c r="D1278" t="s">
        <v>5669</v>
      </c>
      <c r="E1278" t="s">
        <v>4891</v>
      </c>
      <c r="F1278" t="s">
        <v>5670</v>
      </c>
      <c r="G1278" t="s">
        <v>17</v>
      </c>
      <c r="H1278" t="s">
        <v>5671</v>
      </c>
    </row>
    <row r="1279" spans="1:8" x14ac:dyDescent="0.35">
      <c r="A1279" t="s">
        <v>5672</v>
      </c>
      <c r="B1279" t="str">
        <f>"9781626370913"</f>
        <v>9781626370913</v>
      </c>
      <c r="C1279" t="s">
        <v>5673</v>
      </c>
      <c r="D1279" t="s">
        <v>5674</v>
      </c>
      <c r="E1279" t="s">
        <v>4891</v>
      </c>
      <c r="G1279" t="s">
        <v>39</v>
      </c>
      <c r="H1279" t="s">
        <v>5675</v>
      </c>
    </row>
    <row r="1280" spans="1:8" x14ac:dyDescent="0.35">
      <c r="A1280" t="s">
        <v>5676</v>
      </c>
      <c r="B1280" t="str">
        <f>"9781609174682"</f>
        <v>9781609174682</v>
      </c>
      <c r="C1280" t="s">
        <v>5677</v>
      </c>
      <c r="D1280" t="s">
        <v>5678</v>
      </c>
      <c r="E1280" t="s">
        <v>4902</v>
      </c>
      <c r="F1280" t="s">
        <v>5679</v>
      </c>
      <c r="G1280" t="s">
        <v>60</v>
      </c>
      <c r="H1280" t="s">
        <v>5680</v>
      </c>
    </row>
    <row r="1281" spans="1:8" x14ac:dyDescent="0.35">
      <c r="A1281" t="s">
        <v>5681</v>
      </c>
      <c r="B1281" t="str">
        <f>"9781609174637"</f>
        <v>9781609174637</v>
      </c>
      <c r="C1281" t="s">
        <v>5682</v>
      </c>
      <c r="D1281" t="s">
        <v>5683</v>
      </c>
      <c r="E1281" t="s">
        <v>4902</v>
      </c>
      <c r="F1281" t="s">
        <v>4903</v>
      </c>
      <c r="G1281" t="s">
        <v>1116</v>
      </c>
      <c r="H1281" t="s">
        <v>5684</v>
      </c>
    </row>
    <row r="1282" spans="1:8" x14ac:dyDescent="0.35">
      <c r="A1282" t="s">
        <v>5685</v>
      </c>
      <c r="B1282" t="str">
        <f>"9780816532230"</f>
        <v>9780816532230</v>
      </c>
      <c r="C1282" t="s">
        <v>5686</v>
      </c>
      <c r="D1282" t="s">
        <v>5687</v>
      </c>
      <c r="E1282" t="s">
        <v>5208</v>
      </c>
      <c r="F1282" t="s">
        <v>5330</v>
      </c>
      <c r="G1282" t="s">
        <v>60</v>
      </c>
      <c r="H1282" t="s">
        <v>5688</v>
      </c>
    </row>
    <row r="1283" spans="1:8" x14ac:dyDescent="0.35">
      <c r="A1283" t="s">
        <v>5689</v>
      </c>
      <c r="B1283" t="str">
        <f>"9780816532353"</f>
        <v>9780816532353</v>
      </c>
      <c r="C1283" t="s">
        <v>5690</v>
      </c>
      <c r="D1283" t="s">
        <v>5691</v>
      </c>
      <c r="E1283" t="s">
        <v>5208</v>
      </c>
      <c r="G1283" t="s">
        <v>2494</v>
      </c>
      <c r="H1283" t="s">
        <v>5692</v>
      </c>
    </row>
    <row r="1284" spans="1:8" x14ac:dyDescent="0.35">
      <c r="A1284" t="s">
        <v>5693</v>
      </c>
      <c r="B1284" t="str">
        <f>"9780252097539"</f>
        <v>9780252097539</v>
      </c>
      <c r="C1284" t="s">
        <v>5694</v>
      </c>
      <c r="D1284" t="s">
        <v>5695</v>
      </c>
      <c r="E1284" t="s">
        <v>5497</v>
      </c>
      <c r="F1284" t="s">
        <v>5696</v>
      </c>
      <c r="G1284" t="s">
        <v>305</v>
      </c>
      <c r="H1284" t="s">
        <v>5697</v>
      </c>
    </row>
    <row r="1285" spans="1:8" x14ac:dyDescent="0.35">
      <c r="A1285" t="s">
        <v>5698</v>
      </c>
      <c r="B1285" t="str">
        <f>"9780252097355"</f>
        <v>9780252097355</v>
      </c>
      <c r="C1285" t="s">
        <v>5699</v>
      </c>
      <c r="D1285" t="s">
        <v>5700</v>
      </c>
      <c r="E1285" t="s">
        <v>5497</v>
      </c>
      <c r="F1285" t="s">
        <v>5701</v>
      </c>
      <c r="G1285" t="s">
        <v>44</v>
      </c>
      <c r="H1285" t="s">
        <v>5702</v>
      </c>
    </row>
    <row r="1286" spans="1:8" x14ac:dyDescent="0.35">
      <c r="A1286" t="s">
        <v>5703</v>
      </c>
      <c r="B1286" t="str">
        <f>"9780268089771"</f>
        <v>9780268089771</v>
      </c>
      <c r="C1286" t="s">
        <v>5704</v>
      </c>
      <c r="D1286" t="s">
        <v>3322</v>
      </c>
      <c r="E1286" t="s">
        <v>5705</v>
      </c>
      <c r="F1286" t="s">
        <v>5706</v>
      </c>
      <c r="G1286" t="s">
        <v>186</v>
      </c>
      <c r="H1286" t="s">
        <v>5707</v>
      </c>
    </row>
    <row r="1287" spans="1:8" x14ac:dyDescent="0.35">
      <c r="A1287" t="s">
        <v>5708</v>
      </c>
      <c r="B1287" t="str">
        <f>"9780268075668"</f>
        <v>9780268075668</v>
      </c>
      <c r="C1287" t="s">
        <v>5709</v>
      </c>
      <c r="D1287" t="s">
        <v>5710</v>
      </c>
      <c r="E1287" t="s">
        <v>5705</v>
      </c>
      <c r="F1287" t="s">
        <v>5711</v>
      </c>
      <c r="G1287" t="s">
        <v>55</v>
      </c>
      <c r="H1287" t="s">
        <v>5712</v>
      </c>
    </row>
    <row r="1288" spans="1:8" x14ac:dyDescent="0.35">
      <c r="A1288" t="s">
        <v>5713</v>
      </c>
      <c r="B1288" t="str">
        <f>"9780268077655"</f>
        <v>9780268077655</v>
      </c>
      <c r="C1288" t="s">
        <v>5714</v>
      </c>
      <c r="D1288" t="s">
        <v>5715</v>
      </c>
      <c r="E1288" t="s">
        <v>5705</v>
      </c>
      <c r="F1288" t="s">
        <v>5716</v>
      </c>
      <c r="G1288" t="s">
        <v>146</v>
      </c>
      <c r="H1288" t="s">
        <v>5717</v>
      </c>
    </row>
    <row r="1289" spans="1:8" x14ac:dyDescent="0.35">
      <c r="A1289" t="s">
        <v>5718</v>
      </c>
      <c r="B1289" t="str">
        <f>"9780268079635"</f>
        <v>9780268079635</v>
      </c>
      <c r="C1289" t="s">
        <v>5719</v>
      </c>
      <c r="D1289" t="s">
        <v>5720</v>
      </c>
      <c r="E1289" t="s">
        <v>5705</v>
      </c>
      <c r="F1289" t="s">
        <v>5721</v>
      </c>
      <c r="G1289" t="s">
        <v>1116</v>
      </c>
      <c r="H1289" t="s">
        <v>5722</v>
      </c>
    </row>
    <row r="1290" spans="1:8" x14ac:dyDescent="0.35">
      <c r="A1290" t="s">
        <v>5723</v>
      </c>
      <c r="B1290" t="str">
        <f>"9780268080570"</f>
        <v>9780268080570</v>
      </c>
      <c r="C1290" t="s">
        <v>5724</v>
      </c>
      <c r="D1290" t="s">
        <v>5725</v>
      </c>
      <c r="E1290" t="s">
        <v>5705</v>
      </c>
      <c r="G1290" t="s">
        <v>186</v>
      </c>
      <c r="H1290" t="s">
        <v>5726</v>
      </c>
    </row>
    <row r="1291" spans="1:8" x14ac:dyDescent="0.35">
      <c r="A1291" t="s">
        <v>5727</v>
      </c>
      <c r="B1291" t="str">
        <f>"9780268089757"</f>
        <v>9780268089757</v>
      </c>
      <c r="C1291" t="s">
        <v>5728</v>
      </c>
      <c r="D1291" t="s">
        <v>5729</v>
      </c>
      <c r="E1291" t="s">
        <v>5705</v>
      </c>
      <c r="F1291" t="s">
        <v>5730</v>
      </c>
      <c r="G1291" t="s">
        <v>44</v>
      </c>
      <c r="H1291" t="s">
        <v>5731</v>
      </c>
    </row>
    <row r="1292" spans="1:8" x14ac:dyDescent="0.35">
      <c r="A1292" t="s">
        <v>5732</v>
      </c>
      <c r="B1292" t="str">
        <f>"9780268081614"</f>
        <v>9780268081614</v>
      </c>
      <c r="C1292" t="s">
        <v>5733</v>
      </c>
      <c r="D1292" t="s">
        <v>5734</v>
      </c>
      <c r="E1292" t="s">
        <v>5705</v>
      </c>
      <c r="F1292" t="s">
        <v>5721</v>
      </c>
      <c r="G1292" t="s">
        <v>186</v>
      </c>
      <c r="H1292" t="s">
        <v>5735</v>
      </c>
    </row>
    <row r="1293" spans="1:8" x14ac:dyDescent="0.35">
      <c r="A1293" t="s">
        <v>5736</v>
      </c>
      <c r="B1293" t="str">
        <f>"9780268077693"</f>
        <v>9780268077693</v>
      </c>
      <c r="C1293" t="s">
        <v>5737</v>
      </c>
      <c r="D1293" t="s">
        <v>5738</v>
      </c>
      <c r="E1293" t="s">
        <v>5705</v>
      </c>
      <c r="F1293" t="s">
        <v>5706</v>
      </c>
      <c r="G1293" t="s">
        <v>96</v>
      </c>
      <c r="H1293" t="s">
        <v>5739</v>
      </c>
    </row>
    <row r="1294" spans="1:8" x14ac:dyDescent="0.35">
      <c r="A1294" t="s">
        <v>5740</v>
      </c>
      <c r="B1294" t="str">
        <f>"9780268092702"</f>
        <v>9780268092702</v>
      </c>
      <c r="C1294" t="s">
        <v>5741</v>
      </c>
      <c r="D1294" t="s">
        <v>5742</v>
      </c>
      <c r="E1294" t="s">
        <v>5705</v>
      </c>
      <c r="F1294" t="s">
        <v>5743</v>
      </c>
      <c r="G1294" t="s">
        <v>44</v>
      </c>
      <c r="H1294" t="s">
        <v>5744</v>
      </c>
    </row>
    <row r="1295" spans="1:8" x14ac:dyDescent="0.35">
      <c r="A1295" t="s">
        <v>5745</v>
      </c>
      <c r="B1295" t="str">
        <f>"9780268075880"</f>
        <v>9780268075880</v>
      </c>
      <c r="C1295" t="s">
        <v>5746</v>
      </c>
      <c r="D1295" t="s">
        <v>5747</v>
      </c>
      <c r="E1295" t="s">
        <v>5705</v>
      </c>
      <c r="G1295" t="s">
        <v>186</v>
      </c>
      <c r="H1295" t="s">
        <v>5748</v>
      </c>
    </row>
    <row r="1296" spans="1:8" x14ac:dyDescent="0.35">
      <c r="A1296" t="s">
        <v>5749</v>
      </c>
      <c r="B1296" t="str">
        <f>"9780268077648"</f>
        <v>9780268077648</v>
      </c>
      <c r="C1296" t="s">
        <v>5750</v>
      </c>
      <c r="D1296" t="s">
        <v>5751</v>
      </c>
      <c r="E1296" t="s">
        <v>5705</v>
      </c>
      <c r="F1296" t="s">
        <v>5752</v>
      </c>
      <c r="G1296" t="s">
        <v>44</v>
      </c>
      <c r="H1296" t="s">
        <v>5753</v>
      </c>
    </row>
    <row r="1297" spans="1:8" x14ac:dyDescent="0.35">
      <c r="A1297" t="s">
        <v>5754</v>
      </c>
      <c r="B1297" t="str">
        <f>"9780268092825"</f>
        <v>9780268092825</v>
      </c>
      <c r="C1297" t="s">
        <v>5755</v>
      </c>
      <c r="D1297" t="s">
        <v>5756</v>
      </c>
      <c r="E1297" t="s">
        <v>5705</v>
      </c>
      <c r="F1297" t="s">
        <v>5730</v>
      </c>
      <c r="G1297" t="s">
        <v>39</v>
      </c>
      <c r="H1297" t="s">
        <v>5757</v>
      </c>
    </row>
    <row r="1298" spans="1:8" x14ac:dyDescent="0.35">
      <c r="A1298" t="s">
        <v>5758</v>
      </c>
      <c r="B1298" t="str">
        <f>"9780268096663"</f>
        <v>9780268096663</v>
      </c>
      <c r="C1298" t="s">
        <v>5759</v>
      </c>
      <c r="D1298" t="s">
        <v>5760</v>
      </c>
      <c r="E1298" t="s">
        <v>5705</v>
      </c>
      <c r="F1298" t="s">
        <v>5730</v>
      </c>
      <c r="G1298" t="s">
        <v>305</v>
      </c>
      <c r="H1298" t="s">
        <v>5761</v>
      </c>
    </row>
    <row r="1299" spans="1:8" x14ac:dyDescent="0.35">
      <c r="A1299" t="s">
        <v>5762</v>
      </c>
      <c r="B1299" t="str">
        <f>"9780268085698"</f>
        <v>9780268085698</v>
      </c>
      <c r="C1299" t="s">
        <v>5763</v>
      </c>
      <c r="D1299" t="s">
        <v>5764</v>
      </c>
      <c r="E1299" t="s">
        <v>5705</v>
      </c>
      <c r="F1299" t="s">
        <v>5711</v>
      </c>
      <c r="G1299" t="s">
        <v>55</v>
      </c>
      <c r="H1299" t="s">
        <v>5765</v>
      </c>
    </row>
    <row r="1300" spans="1:8" x14ac:dyDescent="0.35">
      <c r="A1300" t="s">
        <v>5766</v>
      </c>
      <c r="B1300" t="str">
        <f>"9780268076993"</f>
        <v>9780268076993</v>
      </c>
      <c r="C1300" t="s">
        <v>5767</v>
      </c>
      <c r="D1300" t="s">
        <v>5768</v>
      </c>
      <c r="E1300" t="s">
        <v>5705</v>
      </c>
      <c r="F1300" t="s">
        <v>5730</v>
      </c>
      <c r="G1300" t="s">
        <v>44</v>
      </c>
      <c r="H1300" t="s">
        <v>5769</v>
      </c>
    </row>
    <row r="1301" spans="1:8" x14ac:dyDescent="0.35">
      <c r="A1301" t="s">
        <v>5770</v>
      </c>
      <c r="B1301" t="str">
        <f>"9780268086947"</f>
        <v>9780268086947</v>
      </c>
      <c r="C1301" t="s">
        <v>5771</v>
      </c>
      <c r="D1301" t="s">
        <v>5264</v>
      </c>
      <c r="E1301" t="s">
        <v>5705</v>
      </c>
      <c r="G1301" t="s">
        <v>55</v>
      </c>
      <c r="H1301" t="s">
        <v>5772</v>
      </c>
    </row>
    <row r="1302" spans="1:8" x14ac:dyDescent="0.35">
      <c r="A1302" t="s">
        <v>5773</v>
      </c>
      <c r="B1302" t="str">
        <f>"9780268092894"</f>
        <v>9780268092894</v>
      </c>
      <c r="C1302" t="s">
        <v>5774</v>
      </c>
      <c r="D1302" t="s">
        <v>5775</v>
      </c>
      <c r="E1302" t="s">
        <v>5705</v>
      </c>
      <c r="F1302" t="s">
        <v>5706</v>
      </c>
      <c r="G1302" t="s">
        <v>186</v>
      </c>
      <c r="H1302" t="s">
        <v>5776</v>
      </c>
    </row>
    <row r="1303" spans="1:8" x14ac:dyDescent="0.35">
      <c r="A1303" t="s">
        <v>5777</v>
      </c>
      <c r="B1303" t="str">
        <f>"9780268096731"</f>
        <v>9780268096731</v>
      </c>
      <c r="C1303" t="s">
        <v>5778</v>
      </c>
      <c r="D1303" t="s">
        <v>5779</v>
      </c>
      <c r="E1303" t="s">
        <v>5705</v>
      </c>
      <c r="F1303" t="s">
        <v>5752</v>
      </c>
      <c r="G1303" t="s">
        <v>305</v>
      </c>
      <c r="H1303" t="s">
        <v>5780</v>
      </c>
    </row>
    <row r="1304" spans="1:8" x14ac:dyDescent="0.35">
      <c r="A1304" t="s">
        <v>5781</v>
      </c>
      <c r="B1304" t="str">
        <f>"9780812202106"</f>
        <v>9780812202106</v>
      </c>
      <c r="C1304" t="s">
        <v>5782</v>
      </c>
      <c r="D1304" t="s">
        <v>5783</v>
      </c>
      <c r="E1304" t="s">
        <v>5784</v>
      </c>
      <c r="G1304" t="s">
        <v>60</v>
      </c>
      <c r="H1304" t="s">
        <v>5785</v>
      </c>
    </row>
    <row r="1305" spans="1:8" x14ac:dyDescent="0.35">
      <c r="A1305" t="s">
        <v>5786</v>
      </c>
      <c r="B1305" t="str">
        <f>"9780812207408"</f>
        <v>9780812207408</v>
      </c>
      <c r="C1305" t="s">
        <v>5787</v>
      </c>
      <c r="D1305" t="s">
        <v>5788</v>
      </c>
      <c r="E1305" t="s">
        <v>5784</v>
      </c>
      <c r="F1305" t="s">
        <v>5789</v>
      </c>
      <c r="G1305" t="s">
        <v>39</v>
      </c>
      <c r="H1305" t="s">
        <v>5790</v>
      </c>
    </row>
    <row r="1306" spans="1:8" x14ac:dyDescent="0.35">
      <c r="A1306" t="s">
        <v>5791</v>
      </c>
      <c r="B1306" t="str">
        <f>"9781934536582"</f>
        <v>9781934536582</v>
      </c>
      <c r="C1306" t="s">
        <v>5792</v>
      </c>
      <c r="D1306" t="s">
        <v>5793</v>
      </c>
      <c r="E1306" t="s">
        <v>5794</v>
      </c>
      <c r="G1306" t="s">
        <v>44</v>
      </c>
      <c r="H1306" t="s">
        <v>5795</v>
      </c>
    </row>
    <row r="1307" spans="1:8" x14ac:dyDescent="0.35">
      <c r="A1307" t="s">
        <v>5796</v>
      </c>
      <c r="B1307" t="str">
        <f>"9780812206593"</f>
        <v>9780812206593</v>
      </c>
      <c r="C1307" t="s">
        <v>5797</v>
      </c>
      <c r="D1307" t="s">
        <v>5798</v>
      </c>
      <c r="E1307" t="s">
        <v>5784</v>
      </c>
      <c r="F1307" t="s">
        <v>5789</v>
      </c>
      <c r="G1307" t="s">
        <v>39</v>
      </c>
      <c r="H1307" t="s">
        <v>5799</v>
      </c>
    </row>
    <row r="1308" spans="1:8" x14ac:dyDescent="0.35">
      <c r="A1308" t="s">
        <v>5800</v>
      </c>
      <c r="B1308" t="str">
        <f>"9780812205725"</f>
        <v>9780812205725</v>
      </c>
      <c r="C1308" t="s">
        <v>5801</v>
      </c>
      <c r="D1308" t="s">
        <v>5802</v>
      </c>
      <c r="E1308" t="s">
        <v>5784</v>
      </c>
      <c r="F1308" t="s">
        <v>5789</v>
      </c>
      <c r="G1308" t="s">
        <v>22</v>
      </c>
      <c r="H1308" t="s">
        <v>5803</v>
      </c>
    </row>
    <row r="1309" spans="1:8" x14ac:dyDescent="0.35">
      <c r="A1309" t="s">
        <v>5804</v>
      </c>
      <c r="B1309" t="str">
        <f>"9780812207545"</f>
        <v>9780812207545</v>
      </c>
      <c r="C1309" t="s">
        <v>5805</v>
      </c>
      <c r="D1309" t="s">
        <v>5806</v>
      </c>
      <c r="E1309" t="s">
        <v>5784</v>
      </c>
      <c r="F1309" t="s">
        <v>5807</v>
      </c>
      <c r="G1309" t="s">
        <v>55</v>
      </c>
      <c r="H1309" t="s">
        <v>5808</v>
      </c>
    </row>
    <row r="1310" spans="1:8" x14ac:dyDescent="0.35">
      <c r="A1310" t="s">
        <v>5809</v>
      </c>
      <c r="B1310" t="str">
        <f>"9780812208207"</f>
        <v>9780812208207</v>
      </c>
      <c r="C1310" t="s">
        <v>5810</v>
      </c>
      <c r="D1310" t="s">
        <v>5811</v>
      </c>
      <c r="E1310" t="s">
        <v>5784</v>
      </c>
      <c r="F1310" t="s">
        <v>5807</v>
      </c>
      <c r="G1310" t="s">
        <v>39</v>
      </c>
      <c r="H1310" t="s">
        <v>5812</v>
      </c>
    </row>
    <row r="1311" spans="1:8" x14ac:dyDescent="0.35">
      <c r="A1311" t="s">
        <v>5813</v>
      </c>
      <c r="B1311" t="str">
        <f>"9780812208832"</f>
        <v>9780812208832</v>
      </c>
      <c r="C1311" t="s">
        <v>5814</v>
      </c>
      <c r="D1311" t="s">
        <v>5815</v>
      </c>
      <c r="E1311" t="s">
        <v>5784</v>
      </c>
      <c r="F1311" t="s">
        <v>5789</v>
      </c>
      <c r="G1311" t="s">
        <v>22</v>
      </c>
      <c r="H1311" t="s">
        <v>5816</v>
      </c>
    </row>
    <row r="1312" spans="1:8" x14ac:dyDescent="0.35">
      <c r="A1312" t="s">
        <v>5817</v>
      </c>
      <c r="B1312" t="str">
        <f>"9780812209433"</f>
        <v>9780812209433</v>
      </c>
      <c r="C1312" t="s">
        <v>5818</v>
      </c>
      <c r="D1312" t="s">
        <v>5819</v>
      </c>
      <c r="E1312" t="s">
        <v>5784</v>
      </c>
      <c r="F1312" t="s">
        <v>5820</v>
      </c>
      <c r="G1312" t="s">
        <v>44</v>
      </c>
      <c r="H1312" t="s">
        <v>5821</v>
      </c>
    </row>
    <row r="1313" spans="1:8" x14ac:dyDescent="0.35">
      <c r="A1313" t="s">
        <v>5822</v>
      </c>
      <c r="B1313" t="str">
        <f>"9780812292121"</f>
        <v>9780812292121</v>
      </c>
      <c r="C1313" t="s">
        <v>5823</v>
      </c>
      <c r="D1313" t="s">
        <v>5824</v>
      </c>
      <c r="E1313" t="s">
        <v>5825</v>
      </c>
      <c r="F1313" t="s">
        <v>5826</v>
      </c>
      <c r="G1313" t="s">
        <v>55</v>
      </c>
      <c r="H1313" t="s">
        <v>5827</v>
      </c>
    </row>
    <row r="1314" spans="1:8" x14ac:dyDescent="0.35">
      <c r="A1314" t="s">
        <v>5828</v>
      </c>
      <c r="B1314" t="str">
        <f>"9780812209679"</f>
        <v>9780812209679</v>
      </c>
      <c r="C1314" t="s">
        <v>5829</v>
      </c>
      <c r="D1314" t="s">
        <v>5830</v>
      </c>
      <c r="E1314" t="s">
        <v>5784</v>
      </c>
      <c r="F1314" t="s">
        <v>5831</v>
      </c>
      <c r="G1314" t="s">
        <v>197</v>
      </c>
      <c r="H1314" t="s">
        <v>5832</v>
      </c>
    </row>
    <row r="1315" spans="1:8" x14ac:dyDescent="0.35">
      <c r="A1315" t="s">
        <v>5833</v>
      </c>
      <c r="B1315" t="str">
        <f>"9780812209891"</f>
        <v>9780812209891</v>
      </c>
      <c r="C1315" t="s">
        <v>5834</v>
      </c>
      <c r="D1315" t="s">
        <v>5835</v>
      </c>
      <c r="E1315" t="s">
        <v>5784</v>
      </c>
      <c r="F1315" t="s">
        <v>5789</v>
      </c>
      <c r="G1315" t="s">
        <v>44</v>
      </c>
      <c r="H1315" t="s">
        <v>5836</v>
      </c>
    </row>
    <row r="1316" spans="1:8" x14ac:dyDescent="0.35">
      <c r="A1316" t="s">
        <v>5837</v>
      </c>
      <c r="B1316" t="str">
        <f>"9780874218077"</f>
        <v>9780874218077</v>
      </c>
      <c r="C1316" t="s">
        <v>5838</v>
      </c>
      <c r="D1316" t="s">
        <v>5839</v>
      </c>
      <c r="E1316" t="s">
        <v>5840</v>
      </c>
      <c r="G1316" t="s">
        <v>5841</v>
      </c>
      <c r="H1316" t="s">
        <v>5842</v>
      </c>
    </row>
    <row r="1317" spans="1:8" x14ac:dyDescent="0.35">
      <c r="A1317" t="s">
        <v>5843</v>
      </c>
      <c r="B1317" t="str">
        <f>"9780874219760"</f>
        <v>9780874219760</v>
      </c>
      <c r="C1317" t="s">
        <v>5844</v>
      </c>
      <c r="D1317" t="s">
        <v>5845</v>
      </c>
      <c r="E1317" t="s">
        <v>5840</v>
      </c>
      <c r="G1317" t="s">
        <v>761</v>
      </c>
      <c r="H1317" t="s">
        <v>5846</v>
      </c>
    </row>
    <row r="1318" spans="1:8" x14ac:dyDescent="0.35">
      <c r="A1318" t="s">
        <v>5847</v>
      </c>
      <c r="B1318" t="str">
        <f>"9780292796584"</f>
        <v>9780292796584</v>
      </c>
      <c r="C1318" t="s">
        <v>5848</v>
      </c>
      <c r="D1318" t="s">
        <v>2507</v>
      </c>
      <c r="E1318" t="s">
        <v>5849</v>
      </c>
      <c r="F1318" t="s">
        <v>5850</v>
      </c>
      <c r="G1318" t="s">
        <v>60</v>
      </c>
      <c r="H1318" t="s">
        <v>5851</v>
      </c>
    </row>
    <row r="1319" spans="1:8" x14ac:dyDescent="0.35">
      <c r="A1319" t="s">
        <v>5852</v>
      </c>
      <c r="B1319" t="str">
        <f>"9780292795952"</f>
        <v>9780292795952</v>
      </c>
      <c r="C1319" t="s">
        <v>5853</v>
      </c>
      <c r="D1319" t="s">
        <v>5854</v>
      </c>
      <c r="E1319" t="s">
        <v>5849</v>
      </c>
      <c r="G1319" t="s">
        <v>186</v>
      </c>
      <c r="H1319" t="s">
        <v>5855</v>
      </c>
    </row>
    <row r="1320" spans="1:8" x14ac:dyDescent="0.35">
      <c r="A1320" t="s">
        <v>5856</v>
      </c>
      <c r="B1320" t="str">
        <f>"9780292797444"</f>
        <v>9780292797444</v>
      </c>
      <c r="C1320" t="s">
        <v>5857</v>
      </c>
      <c r="D1320" t="s">
        <v>5858</v>
      </c>
      <c r="E1320" t="s">
        <v>5849</v>
      </c>
      <c r="G1320" t="s">
        <v>83</v>
      </c>
      <c r="H1320" t="s">
        <v>5859</v>
      </c>
    </row>
    <row r="1321" spans="1:8" x14ac:dyDescent="0.35">
      <c r="A1321" t="s">
        <v>5860</v>
      </c>
      <c r="B1321" t="str">
        <f>"9780292795938"</f>
        <v>9780292795938</v>
      </c>
      <c r="C1321" t="s">
        <v>5861</v>
      </c>
      <c r="D1321" t="s">
        <v>2507</v>
      </c>
      <c r="E1321" t="s">
        <v>5849</v>
      </c>
      <c r="G1321" t="s">
        <v>60</v>
      </c>
      <c r="H1321" t="s">
        <v>5862</v>
      </c>
    </row>
    <row r="1322" spans="1:8" x14ac:dyDescent="0.35">
      <c r="A1322" t="s">
        <v>5863</v>
      </c>
      <c r="B1322" t="str">
        <f>"9780292795587"</f>
        <v>9780292795587</v>
      </c>
      <c r="C1322" t="s">
        <v>5864</v>
      </c>
      <c r="D1322" t="s">
        <v>5865</v>
      </c>
      <c r="E1322" t="s">
        <v>5849</v>
      </c>
      <c r="G1322" t="s">
        <v>55</v>
      </c>
      <c r="H1322" t="s">
        <v>5866</v>
      </c>
    </row>
    <row r="1323" spans="1:8" x14ac:dyDescent="0.35">
      <c r="A1323" t="s">
        <v>5867</v>
      </c>
      <c r="B1323" t="str">
        <f>"9780292796256"</f>
        <v>9780292796256</v>
      </c>
      <c r="C1323" t="s">
        <v>5868</v>
      </c>
      <c r="D1323" t="s">
        <v>5869</v>
      </c>
      <c r="E1323" t="s">
        <v>5849</v>
      </c>
      <c r="G1323" t="s">
        <v>60</v>
      </c>
      <c r="H1323" t="s">
        <v>5870</v>
      </c>
    </row>
    <row r="1324" spans="1:8" x14ac:dyDescent="0.35">
      <c r="A1324" t="s">
        <v>5871</v>
      </c>
      <c r="B1324" t="str">
        <f>"9780292798120"</f>
        <v>9780292798120</v>
      </c>
      <c r="C1324" t="s">
        <v>5872</v>
      </c>
      <c r="D1324" t="s">
        <v>5873</v>
      </c>
      <c r="E1324" t="s">
        <v>5849</v>
      </c>
      <c r="G1324" t="s">
        <v>39</v>
      </c>
      <c r="H1324" t="s">
        <v>5874</v>
      </c>
    </row>
    <row r="1325" spans="1:8" x14ac:dyDescent="0.35">
      <c r="A1325" t="s">
        <v>5875</v>
      </c>
      <c r="B1325" t="str">
        <f>"9780292795372"</f>
        <v>9780292795372</v>
      </c>
      <c r="C1325" t="s">
        <v>5876</v>
      </c>
      <c r="D1325" t="s">
        <v>5877</v>
      </c>
      <c r="E1325" t="s">
        <v>5849</v>
      </c>
      <c r="G1325" t="s">
        <v>4348</v>
      </c>
      <c r="H1325" t="s">
        <v>5878</v>
      </c>
    </row>
    <row r="1326" spans="1:8" x14ac:dyDescent="0.35">
      <c r="A1326" t="s">
        <v>5879</v>
      </c>
      <c r="B1326" t="str">
        <f>"9780292795624"</f>
        <v>9780292795624</v>
      </c>
      <c r="C1326" t="s">
        <v>5880</v>
      </c>
      <c r="D1326" t="s">
        <v>100</v>
      </c>
      <c r="E1326" t="s">
        <v>5849</v>
      </c>
      <c r="G1326" t="s">
        <v>214</v>
      </c>
      <c r="H1326" t="s">
        <v>5881</v>
      </c>
    </row>
    <row r="1327" spans="1:8" x14ac:dyDescent="0.35">
      <c r="A1327" t="s">
        <v>5882</v>
      </c>
      <c r="B1327" t="str">
        <f>"9780292798694"</f>
        <v>9780292798694</v>
      </c>
      <c r="C1327" t="s">
        <v>5883</v>
      </c>
      <c r="D1327" t="s">
        <v>5884</v>
      </c>
      <c r="E1327" t="s">
        <v>5849</v>
      </c>
      <c r="G1327" t="s">
        <v>139</v>
      </c>
      <c r="H1327" t="s">
        <v>5885</v>
      </c>
    </row>
    <row r="1328" spans="1:8" x14ac:dyDescent="0.35">
      <c r="A1328" t="s">
        <v>5886</v>
      </c>
      <c r="B1328" t="str">
        <f>"9780292798618"</f>
        <v>9780292798618</v>
      </c>
      <c r="C1328" t="s">
        <v>5887</v>
      </c>
      <c r="D1328" t="s">
        <v>5888</v>
      </c>
      <c r="E1328" t="s">
        <v>5849</v>
      </c>
      <c r="G1328" t="s">
        <v>39</v>
      </c>
      <c r="H1328" t="s">
        <v>5889</v>
      </c>
    </row>
    <row r="1329" spans="1:8" x14ac:dyDescent="0.35">
      <c r="A1329" t="s">
        <v>5890</v>
      </c>
      <c r="B1329" t="str">
        <f>"9780292795648"</f>
        <v>9780292795648</v>
      </c>
      <c r="C1329" t="s">
        <v>5891</v>
      </c>
      <c r="D1329" t="s">
        <v>5892</v>
      </c>
      <c r="E1329" t="s">
        <v>5849</v>
      </c>
      <c r="G1329" t="s">
        <v>44</v>
      </c>
      <c r="H1329" t="s">
        <v>5893</v>
      </c>
    </row>
    <row r="1330" spans="1:8" x14ac:dyDescent="0.35">
      <c r="A1330" t="s">
        <v>5894</v>
      </c>
      <c r="B1330" t="str">
        <f>"9780292797048"</f>
        <v>9780292797048</v>
      </c>
      <c r="C1330" t="s">
        <v>5895</v>
      </c>
      <c r="D1330" t="s">
        <v>5896</v>
      </c>
      <c r="E1330" t="s">
        <v>5849</v>
      </c>
      <c r="G1330" t="s">
        <v>282</v>
      </c>
      <c r="H1330" t="s">
        <v>5897</v>
      </c>
    </row>
    <row r="1331" spans="1:8" x14ac:dyDescent="0.35">
      <c r="A1331" t="s">
        <v>5898</v>
      </c>
      <c r="B1331" t="str">
        <f>"9780292795396"</f>
        <v>9780292795396</v>
      </c>
      <c r="C1331" t="s">
        <v>5899</v>
      </c>
      <c r="D1331" t="s">
        <v>5900</v>
      </c>
      <c r="E1331" t="s">
        <v>5849</v>
      </c>
      <c r="G1331" t="s">
        <v>139</v>
      </c>
      <c r="H1331" t="s">
        <v>5901</v>
      </c>
    </row>
    <row r="1332" spans="1:8" x14ac:dyDescent="0.35">
      <c r="A1332" t="s">
        <v>5902</v>
      </c>
      <c r="B1332" t="str">
        <f>"9780292796669"</f>
        <v>9780292796669</v>
      </c>
      <c r="C1332" t="s">
        <v>5903</v>
      </c>
      <c r="D1332" t="s">
        <v>5904</v>
      </c>
      <c r="E1332" t="s">
        <v>5849</v>
      </c>
      <c r="G1332" t="s">
        <v>44</v>
      </c>
      <c r="H1332" t="s">
        <v>5905</v>
      </c>
    </row>
    <row r="1333" spans="1:8" x14ac:dyDescent="0.35">
      <c r="A1333" t="s">
        <v>5906</v>
      </c>
      <c r="B1333" t="str">
        <f>"9780292797215"</f>
        <v>9780292797215</v>
      </c>
      <c r="C1333" t="s">
        <v>5907</v>
      </c>
      <c r="D1333" t="s">
        <v>5908</v>
      </c>
      <c r="E1333" t="s">
        <v>5849</v>
      </c>
      <c r="G1333" t="s">
        <v>44</v>
      </c>
      <c r="H1333" t="s">
        <v>5909</v>
      </c>
    </row>
    <row r="1334" spans="1:8" x14ac:dyDescent="0.35">
      <c r="A1334" t="s">
        <v>5910</v>
      </c>
      <c r="B1334" t="str">
        <f>"9780292794559"</f>
        <v>9780292794559</v>
      </c>
      <c r="C1334" t="s">
        <v>5911</v>
      </c>
      <c r="D1334" t="s">
        <v>5912</v>
      </c>
      <c r="E1334" t="s">
        <v>5849</v>
      </c>
      <c r="G1334" t="s">
        <v>139</v>
      </c>
      <c r="H1334" t="s">
        <v>5913</v>
      </c>
    </row>
    <row r="1335" spans="1:8" x14ac:dyDescent="0.35">
      <c r="A1335" t="s">
        <v>5914</v>
      </c>
      <c r="B1335" t="str">
        <f>"9780292795716"</f>
        <v>9780292795716</v>
      </c>
      <c r="C1335" t="s">
        <v>5915</v>
      </c>
      <c r="D1335" t="s">
        <v>5916</v>
      </c>
      <c r="E1335" t="s">
        <v>5849</v>
      </c>
      <c r="G1335" t="s">
        <v>382</v>
      </c>
      <c r="H1335" t="s">
        <v>5917</v>
      </c>
    </row>
    <row r="1336" spans="1:8" x14ac:dyDescent="0.35">
      <c r="A1336" t="s">
        <v>5918</v>
      </c>
      <c r="B1336" t="str">
        <f>"9780292795013"</f>
        <v>9780292795013</v>
      </c>
      <c r="C1336" t="s">
        <v>5919</v>
      </c>
      <c r="D1336" t="s">
        <v>5920</v>
      </c>
      <c r="E1336" t="s">
        <v>5849</v>
      </c>
      <c r="G1336" t="s">
        <v>83</v>
      </c>
      <c r="H1336" t="s">
        <v>5921</v>
      </c>
    </row>
    <row r="1337" spans="1:8" x14ac:dyDescent="0.35">
      <c r="A1337" t="s">
        <v>5922</v>
      </c>
      <c r="B1337" t="str">
        <f>"9780292795280"</f>
        <v>9780292795280</v>
      </c>
      <c r="C1337" t="s">
        <v>5923</v>
      </c>
      <c r="D1337" t="s">
        <v>5924</v>
      </c>
      <c r="E1337" t="s">
        <v>5849</v>
      </c>
      <c r="G1337" t="s">
        <v>5925</v>
      </c>
      <c r="H1337" t="s">
        <v>5926</v>
      </c>
    </row>
    <row r="1338" spans="1:8" x14ac:dyDescent="0.35">
      <c r="A1338" t="s">
        <v>5927</v>
      </c>
      <c r="B1338" t="str">
        <f>"9780292794429"</f>
        <v>9780292794429</v>
      </c>
      <c r="C1338" t="s">
        <v>5928</v>
      </c>
      <c r="D1338" t="s">
        <v>5929</v>
      </c>
      <c r="E1338" t="s">
        <v>5849</v>
      </c>
      <c r="G1338" t="s">
        <v>268</v>
      </c>
      <c r="H1338" t="s">
        <v>5930</v>
      </c>
    </row>
    <row r="1339" spans="1:8" x14ac:dyDescent="0.35">
      <c r="A1339" t="s">
        <v>5931</v>
      </c>
      <c r="B1339" t="str">
        <f>"9780292795020"</f>
        <v>9780292795020</v>
      </c>
      <c r="C1339" t="s">
        <v>5932</v>
      </c>
      <c r="D1339" t="s">
        <v>5933</v>
      </c>
      <c r="E1339" t="s">
        <v>5849</v>
      </c>
      <c r="G1339" t="s">
        <v>44</v>
      </c>
      <c r="H1339" t="s">
        <v>5934</v>
      </c>
    </row>
    <row r="1340" spans="1:8" x14ac:dyDescent="0.35">
      <c r="A1340" t="s">
        <v>5935</v>
      </c>
      <c r="B1340" t="str">
        <f>"9780292794948"</f>
        <v>9780292794948</v>
      </c>
      <c r="C1340" t="s">
        <v>5936</v>
      </c>
      <c r="D1340" t="s">
        <v>5937</v>
      </c>
      <c r="E1340" t="s">
        <v>5849</v>
      </c>
      <c r="G1340" t="s">
        <v>17</v>
      </c>
      <c r="H1340" t="s">
        <v>5938</v>
      </c>
    </row>
    <row r="1341" spans="1:8" x14ac:dyDescent="0.35">
      <c r="A1341" t="s">
        <v>5939</v>
      </c>
      <c r="B1341" t="str">
        <f>"9780292795440"</f>
        <v>9780292795440</v>
      </c>
      <c r="C1341" t="s">
        <v>5940</v>
      </c>
      <c r="D1341" t="s">
        <v>5941</v>
      </c>
      <c r="E1341" t="s">
        <v>5849</v>
      </c>
      <c r="G1341" t="s">
        <v>39</v>
      </c>
      <c r="H1341" t="s">
        <v>5942</v>
      </c>
    </row>
    <row r="1342" spans="1:8" x14ac:dyDescent="0.35">
      <c r="A1342" t="s">
        <v>5943</v>
      </c>
      <c r="B1342" t="str">
        <f>"9780292795754"</f>
        <v>9780292795754</v>
      </c>
      <c r="C1342" t="s">
        <v>5944</v>
      </c>
      <c r="D1342" t="s">
        <v>5945</v>
      </c>
      <c r="E1342" t="s">
        <v>5849</v>
      </c>
      <c r="G1342" t="s">
        <v>1116</v>
      </c>
      <c r="H1342" t="s">
        <v>5946</v>
      </c>
    </row>
    <row r="1343" spans="1:8" x14ac:dyDescent="0.35">
      <c r="A1343" t="s">
        <v>5947</v>
      </c>
      <c r="B1343" t="str">
        <f>"9780292794726"</f>
        <v>9780292794726</v>
      </c>
      <c r="C1343" t="s">
        <v>5948</v>
      </c>
      <c r="D1343" t="s">
        <v>5949</v>
      </c>
      <c r="E1343" t="s">
        <v>5849</v>
      </c>
      <c r="G1343" t="s">
        <v>55</v>
      </c>
      <c r="H1343" t="s">
        <v>5950</v>
      </c>
    </row>
    <row r="1344" spans="1:8" x14ac:dyDescent="0.35">
      <c r="A1344" t="s">
        <v>5951</v>
      </c>
      <c r="B1344" t="str">
        <f>"9780292794597"</f>
        <v>9780292794597</v>
      </c>
      <c r="C1344" t="s">
        <v>5952</v>
      </c>
      <c r="D1344" t="s">
        <v>5953</v>
      </c>
      <c r="E1344" t="s">
        <v>5849</v>
      </c>
      <c r="G1344" t="s">
        <v>55</v>
      </c>
      <c r="H1344" t="s">
        <v>5954</v>
      </c>
    </row>
    <row r="1345" spans="1:8" x14ac:dyDescent="0.35">
      <c r="A1345" t="s">
        <v>5955</v>
      </c>
      <c r="B1345" t="str">
        <f>"9780292794788"</f>
        <v>9780292794788</v>
      </c>
      <c r="C1345" t="s">
        <v>5956</v>
      </c>
      <c r="D1345" t="s">
        <v>5957</v>
      </c>
      <c r="E1345" t="s">
        <v>5849</v>
      </c>
      <c r="G1345" t="s">
        <v>44</v>
      </c>
      <c r="H1345" t="s">
        <v>5958</v>
      </c>
    </row>
    <row r="1346" spans="1:8" x14ac:dyDescent="0.35">
      <c r="A1346" t="s">
        <v>5959</v>
      </c>
      <c r="B1346" t="str">
        <f>"9780292796805"</f>
        <v>9780292796805</v>
      </c>
      <c r="C1346" t="s">
        <v>5960</v>
      </c>
      <c r="D1346" t="s">
        <v>5961</v>
      </c>
      <c r="E1346" t="s">
        <v>5849</v>
      </c>
      <c r="G1346" t="s">
        <v>60</v>
      </c>
      <c r="H1346" t="s">
        <v>5962</v>
      </c>
    </row>
    <row r="1347" spans="1:8" x14ac:dyDescent="0.35">
      <c r="A1347" t="s">
        <v>5963</v>
      </c>
      <c r="B1347" t="str">
        <f>"9780292794566"</f>
        <v>9780292794566</v>
      </c>
      <c r="C1347" t="s">
        <v>5964</v>
      </c>
      <c r="D1347" t="s">
        <v>5965</v>
      </c>
      <c r="E1347" t="s">
        <v>5849</v>
      </c>
      <c r="G1347" t="s">
        <v>157</v>
      </c>
      <c r="H1347" t="s">
        <v>5966</v>
      </c>
    </row>
    <row r="1348" spans="1:8" x14ac:dyDescent="0.35">
      <c r="A1348" t="s">
        <v>5967</v>
      </c>
      <c r="B1348" t="str">
        <f>"9780292794733"</f>
        <v>9780292794733</v>
      </c>
      <c r="C1348" t="s">
        <v>5968</v>
      </c>
      <c r="D1348" t="s">
        <v>5969</v>
      </c>
      <c r="E1348" t="s">
        <v>5849</v>
      </c>
      <c r="G1348" t="s">
        <v>83</v>
      </c>
      <c r="H1348" t="s">
        <v>5970</v>
      </c>
    </row>
    <row r="1349" spans="1:8" x14ac:dyDescent="0.35">
      <c r="A1349" t="s">
        <v>5971</v>
      </c>
      <c r="B1349" t="str">
        <f>"9780292795099"</f>
        <v>9780292795099</v>
      </c>
      <c r="C1349" t="s">
        <v>5972</v>
      </c>
      <c r="D1349" t="s">
        <v>5973</v>
      </c>
      <c r="E1349" t="s">
        <v>5849</v>
      </c>
      <c r="G1349" t="s">
        <v>39</v>
      </c>
      <c r="H1349" t="s">
        <v>5974</v>
      </c>
    </row>
    <row r="1350" spans="1:8" x14ac:dyDescent="0.35">
      <c r="A1350" t="s">
        <v>5975</v>
      </c>
      <c r="B1350" t="str">
        <f>"9780292797093"</f>
        <v>9780292797093</v>
      </c>
      <c r="C1350" t="s">
        <v>5976</v>
      </c>
      <c r="D1350" t="s">
        <v>5977</v>
      </c>
      <c r="E1350" t="s">
        <v>5849</v>
      </c>
      <c r="G1350" t="s">
        <v>112</v>
      </c>
      <c r="H1350" t="s">
        <v>5978</v>
      </c>
    </row>
    <row r="1351" spans="1:8" x14ac:dyDescent="0.35">
      <c r="A1351" t="s">
        <v>5979</v>
      </c>
      <c r="B1351" t="str">
        <f>"9780292794405"</f>
        <v>9780292794405</v>
      </c>
      <c r="C1351" t="s">
        <v>5980</v>
      </c>
      <c r="D1351" t="s">
        <v>5981</v>
      </c>
      <c r="E1351" t="s">
        <v>5849</v>
      </c>
      <c r="G1351" t="s">
        <v>55</v>
      </c>
      <c r="H1351" t="s">
        <v>5982</v>
      </c>
    </row>
    <row r="1352" spans="1:8" x14ac:dyDescent="0.35">
      <c r="A1352" t="s">
        <v>5983</v>
      </c>
      <c r="B1352" t="str">
        <f>"9780292795051"</f>
        <v>9780292795051</v>
      </c>
      <c r="C1352" t="s">
        <v>5984</v>
      </c>
      <c r="D1352" t="s">
        <v>5985</v>
      </c>
      <c r="E1352" t="s">
        <v>5849</v>
      </c>
      <c r="G1352" t="s">
        <v>5986</v>
      </c>
      <c r="H1352" t="s">
        <v>5987</v>
      </c>
    </row>
    <row r="1353" spans="1:8" x14ac:dyDescent="0.35">
      <c r="A1353" t="s">
        <v>5988</v>
      </c>
      <c r="B1353" t="str">
        <f>"9780292794535"</f>
        <v>9780292794535</v>
      </c>
      <c r="C1353" t="s">
        <v>5989</v>
      </c>
      <c r="D1353" t="s">
        <v>5990</v>
      </c>
      <c r="E1353" t="s">
        <v>5849</v>
      </c>
      <c r="G1353" t="s">
        <v>5991</v>
      </c>
      <c r="H1353" t="s">
        <v>5992</v>
      </c>
    </row>
    <row r="1354" spans="1:8" x14ac:dyDescent="0.35">
      <c r="A1354" t="s">
        <v>5993</v>
      </c>
      <c r="B1354" t="str">
        <f>"9780292794825"</f>
        <v>9780292794825</v>
      </c>
      <c r="C1354" t="s">
        <v>5994</v>
      </c>
      <c r="D1354" t="s">
        <v>5995</v>
      </c>
      <c r="E1354" t="s">
        <v>5849</v>
      </c>
      <c r="G1354" t="s">
        <v>60</v>
      </c>
      <c r="H1354" t="s">
        <v>5996</v>
      </c>
    </row>
    <row r="1355" spans="1:8" x14ac:dyDescent="0.35">
      <c r="A1355" t="s">
        <v>5997</v>
      </c>
      <c r="B1355" t="str">
        <f>"9780292794689"</f>
        <v>9780292794689</v>
      </c>
      <c r="C1355" t="s">
        <v>5998</v>
      </c>
      <c r="D1355" t="s">
        <v>5999</v>
      </c>
      <c r="E1355" t="s">
        <v>5849</v>
      </c>
      <c r="G1355" t="s">
        <v>17</v>
      </c>
      <c r="H1355" t="s">
        <v>6000</v>
      </c>
    </row>
    <row r="1356" spans="1:8" x14ac:dyDescent="0.35">
      <c r="A1356" t="s">
        <v>6001</v>
      </c>
      <c r="B1356" t="str">
        <f>"9780292794832"</f>
        <v>9780292794832</v>
      </c>
      <c r="C1356" t="s">
        <v>6002</v>
      </c>
      <c r="D1356" t="s">
        <v>6003</v>
      </c>
      <c r="E1356" t="s">
        <v>5849</v>
      </c>
      <c r="G1356" t="s">
        <v>44</v>
      </c>
      <c r="H1356" t="s">
        <v>6004</v>
      </c>
    </row>
    <row r="1357" spans="1:8" x14ac:dyDescent="0.35">
      <c r="A1357" t="s">
        <v>6005</v>
      </c>
      <c r="B1357" t="str">
        <f>"9780292794665"</f>
        <v>9780292794665</v>
      </c>
      <c r="C1357" t="s">
        <v>6006</v>
      </c>
      <c r="D1357" t="s">
        <v>6007</v>
      </c>
      <c r="E1357" t="s">
        <v>5849</v>
      </c>
      <c r="G1357" t="s">
        <v>139</v>
      </c>
      <c r="H1357" t="s">
        <v>6008</v>
      </c>
    </row>
    <row r="1358" spans="1:8" x14ac:dyDescent="0.35">
      <c r="A1358" t="s">
        <v>6009</v>
      </c>
      <c r="B1358" t="str">
        <f>"9780292794474"</f>
        <v>9780292794474</v>
      </c>
      <c r="C1358" t="s">
        <v>6010</v>
      </c>
      <c r="D1358" t="s">
        <v>6011</v>
      </c>
      <c r="E1358" t="s">
        <v>5849</v>
      </c>
      <c r="G1358" t="s">
        <v>44</v>
      </c>
      <c r="H1358" t="s">
        <v>6012</v>
      </c>
    </row>
    <row r="1359" spans="1:8" x14ac:dyDescent="0.35">
      <c r="A1359" t="s">
        <v>6013</v>
      </c>
      <c r="B1359" t="str">
        <f>"9780292795464"</f>
        <v>9780292795464</v>
      </c>
      <c r="C1359" t="s">
        <v>6014</v>
      </c>
      <c r="D1359" t="s">
        <v>6015</v>
      </c>
      <c r="E1359" t="s">
        <v>5849</v>
      </c>
      <c r="G1359" t="s">
        <v>197</v>
      </c>
      <c r="H1359" t="s">
        <v>6016</v>
      </c>
    </row>
    <row r="1360" spans="1:8" x14ac:dyDescent="0.35">
      <c r="A1360" t="s">
        <v>6017</v>
      </c>
      <c r="B1360" t="str">
        <f>"9780292797086"</f>
        <v>9780292797086</v>
      </c>
      <c r="C1360" t="s">
        <v>6018</v>
      </c>
      <c r="D1360" t="s">
        <v>6019</v>
      </c>
      <c r="E1360" t="s">
        <v>5849</v>
      </c>
      <c r="G1360" t="s">
        <v>112</v>
      </c>
      <c r="H1360" t="s">
        <v>6020</v>
      </c>
    </row>
    <row r="1361" spans="1:8" x14ac:dyDescent="0.35">
      <c r="A1361" t="s">
        <v>6021</v>
      </c>
      <c r="B1361" t="str">
        <f>"9780292794092"</f>
        <v>9780292794092</v>
      </c>
      <c r="C1361" t="s">
        <v>6022</v>
      </c>
      <c r="D1361" t="s">
        <v>6023</v>
      </c>
      <c r="E1361" t="s">
        <v>5849</v>
      </c>
      <c r="G1361" t="s">
        <v>186</v>
      </c>
      <c r="H1361" t="s">
        <v>6024</v>
      </c>
    </row>
    <row r="1362" spans="1:8" x14ac:dyDescent="0.35">
      <c r="A1362" t="s">
        <v>6025</v>
      </c>
      <c r="B1362" t="str">
        <f>"9780292793934"</f>
        <v>9780292793934</v>
      </c>
      <c r="C1362" t="s">
        <v>6026</v>
      </c>
      <c r="D1362" t="s">
        <v>6027</v>
      </c>
      <c r="E1362" t="s">
        <v>5849</v>
      </c>
      <c r="G1362" t="s">
        <v>139</v>
      </c>
      <c r="H1362" t="s">
        <v>6028</v>
      </c>
    </row>
    <row r="1363" spans="1:8" x14ac:dyDescent="0.35">
      <c r="A1363" t="s">
        <v>6029</v>
      </c>
      <c r="B1363" t="str">
        <f>"9780292793859"</f>
        <v>9780292793859</v>
      </c>
      <c r="C1363" t="s">
        <v>6030</v>
      </c>
      <c r="D1363" t="s">
        <v>6031</v>
      </c>
      <c r="E1363" t="s">
        <v>5849</v>
      </c>
      <c r="G1363" t="s">
        <v>39</v>
      </c>
      <c r="H1363" t="s">
        <v>6032</v>
      </c>
    </row>
    <row r="1364" spans="1:8" x14ac:dyDescent="0.35">
      <c r="A1364" t="s">
        <v>6033</v>
      </c>
      <c r="B1364" t="str">
        <f>"9780292794054"</f>
        <v>9780292794054</v>
      </c>
      <c r="C1364" t="s">
        <v>6034</v>
      </c>
      <c r="D1364" t="s">
        <v>6035</v>
      </c>
      <c r="E1364" t="s">
        <v>5849</v>
      </c>
      <c r="G1364" t="s">
        <v>60</v>
      </c>
      <c r="H1364" t="s">
        <v>6036</v>
      </c>
    </row>
    <row r="1365" spans="1:8" x14ac:dyDescent="0.35">
      <c r="A1365" t="s">
        <v>6037</v>
      </c>
      <c r="B1365" t="str">
        <f>"9780292794078"</f>
        <v>9780292794078</v>
      </c>
      <c r="C1365" t="s">
        <v>6038</v>
      </c>
      <c r="D1365" t="s">
        <v>6039</v>
      </c>
      <c r="E1365" t="s">
        <v>5849</v>
      </c>
      <c r="G1365" t="s">
        <v>44</v>
      </c>
      <c r="H1365" t="s">
        <v>6040</v>
      </c>
    </row>
    <row r="1366" spans="1:8" x14ac:dyDescent="0.35">
      <c r="A1366" t="s">
        <v>6041</v>
      </c>
      <c r="B1366" t="str">
        <f>"9780292793880"</f>
        <v>9780292793880</v>
      </c>
      <c r="C1366" t="s">
        <v>6042</v>
      </c>
      <c r="D1366" t="s">
        <v>6043</v>
      </c>
      <c r="E1366" t="s">
        <v>5849</v>
      </c>
      <c r="G1366" t="s">
        <v>55</v>
      </c>
      <c r="H1366" t="s">
        <v>6044</v>
      </c>
    </row>
    <row r="1367" spans="1:8" x14ac:dyDescent="0.35">
      <c r="A1367" t="s">
        <v>6045</v>
      </c>
      <c r="B1367" t="str">
        <f>"9780292794146"</f>
        <v>9780292794146</v>
      </c>
      <c r="C1367" t="s">
        <v>6046</v>
      </c>
      <c r="D1367" t="s">
        <v>6047</v>
      </c>
      <c r="E1367" t="s">
        <v>5849</v>
      </c>
      <c r="G1367" t="s">
        <v>44</v>
      </c>
      <c r="H1367" t="s">
        <v>6048</v>
      </c>
    </row>
    <row r="1368" spans="1:8" x14ac:dyDescent="0.35">
      <c r="A1368" t="s">
        <v>6049</v>
      </c>
      <c r="B1368" t="str">
        <f>"9780292793835"</f>
        <v>9780292793835</v>
      </c>
      <c r="C1368" t="s">
        <v>6050</v>
      </c>
      <c r="D1368" t="s">
        <v>6051</v>
      </c>
      <c r="E1368" t="s">
        <v>5849</v>
      </c>
      <c r="G1368" t="s">
        <v>60</v>
      </c>
      <c r="H1368" t="s">
        <v>6052</v>
      </c>
    </row>
    <row r="1369" spans="1:8" x14ac:dyDescent="0.35">
      <c r="A1369" t="s">
        <v>6053</v>
      </c>
      <c r="B1369" t="str">
        <f>"9780292794085"</f>
        <v>9780292794085</v>
      </c>
      <c r="C1369" t="s">
        <v>6054</v>
      </c>
      <c r="D1369" t="s">
        <v>6055</v>
      </c>
      <c r="E1369" t="s">
        <v>5849</v>
      </c>
      <c r="G1369" t="s">
        <v>139</v>
      </c>
      <c r="H1369" t="s">
        <v>6056</v>
      </c>
    </row>
    <row r="1370" spans="1:8" x14ac:dyDescent="0.35">
      <c r="A1370" t="s">
        <v>6057</v>
      </c>
      <c r="B1370" t="str">
        <f>"9780292794030"</f>
        <v>9780292794030</v>
      </c>
      <c r="C1370" t="s">
        <v>6058</v>
      </c>
      <c r="D1370" t="s">
        <v>6059</v>
      </c>
      <c r="E1370" t="s">
        <v>5849</v>
      </c>
      <c r="G1370" t="s">
        <v>39</v>
      </c>
      <c r="H1370" t="s">
        <v>6060</v>
      </c>
    </row>
    <row r="1371" spans="1:8" x14ac:dyDescent="0.35">
      <c r="A1371" t="s">
        <v>6061</v>
      </c>
      <c r="B1371" t="str">
        <f>"9780292794207"</f>
        <v>9780292794207</v>
      </c>
      <c r="C1371" t="s">
        <v>6062</v>
      </c>
      <c r="D1371" t="s">
        <v>6063</v>
      </c>
      <c r="E1371" t="s">
        <v>5849</v>
      </c>
      <c r="G1371" t="s">
        <v>17</v>
      </c>
      <c r="H1371" t="s">
        <v>6064</v>
      </c>
    </row>
    <row r="1372" spans="1:8" x14ac:dyDescent="0.35">
      <c r="A1372" t="s">
        <v>6065</v>
      </c>
      <c r="B1372" t="str">
        <f>"9780292793941"</f>
        <v>9780292793941</v>
      </c>
      <c r="C1372" t="s">
        <v>6066</v>
      </c>
      <c r="D1372" t="s">
        <v>6067</v>
      </c>
      <c r="E1372" t="s">
        <v>5849</v>
      </c>
      <c r="G1372" t="s">
        <v>44</v>
      </c>
      <c r="H1372" t="s">
        <v>6068</v>
      </c>
    </row>
    <row r="1373" spans="1:8" x14ac:dyDescent="0.35">
      <c r="A1373" t="s">
        <v>6069</v>
      </c>
      <c r="B1373" t="str">
        <f>"9780292793767"</f>
        <v>9780292793767</v>
      </c>
      <c r="C1373" t="s">
        <v>6070</v>
      </c>
      <c r="D1373" t="s">
        <v>6071</v>
      </c>
      <c r="E1373" t="s">
        <v>5849</v>
      </c>
      <c r="G1373" t="s">
        <v>39</v>
      </c>
      <c r="H1373" t="s">
        <v>6072</v>
      </c>
    </row>
    <row r="1374" spans="1:8" x14ac:dyDescent="0.35">
      <c r="A1374" t="s">
        <v>6073</v>
      </c>
      <c r="B1374" t="str">
        <f>"9780292793736"</f>
        <v>9780292793736</v>
      </c>
      <c r="C1374" t="s">
        <v>6074</v>
      </c>
      <c r="D1374" t="s">
        <v>6075</v>
      </c>
      <c r="E1374" t="s">
        <v>5849</v>
      </c>
      <c r="G1374" t="s">
        <v>6076</v>
      </c>
      <c r="H1374" t="s">
        <v>6077</v>
      </c>
    </row>
    <row r="1375" spans="1:8" x14ac:dyDescent="0.35">
      <c r="A1375" t="s">
        <v>6078</v>
      </c>
      <c r="B1375" t="str">
        <f>"9780292793729"</f>
        <v>9780292793729</v>
      </c>
      <c r="C1375" t="s">
        <v>6079</v>
      </c>
      <c r="D1375" t="s">
        <v>6080</v>
      </c>
      <c r="E1375" t="s">
        <v>5849</v>
      </c>
      <c r="G1375" t="s">
        <v>44</v>
      </c>
      <c r="H1375" t="s">
        <v>6081</v>
      </c>
    </row>
    <row r="1376" spans="1:8" x14ac:dyDescent="0.35">
      <c r="A1376" t="s">
        <v>6082</v>
      </c>
      <c r="B1376" t="str">
        <f>"9780292793583"</f>
        <v>9780292793583</v>
      </c>
      <c r="C1376" t="s">
        <v>6083</v>
      </c>
      <c r="D1376" t="s">
        <v>6084</v>
      </c>
      <c r="E1376" t="s">
        <v>5849</v>
      </c>
      <c r="G1376" t="s">
        <v>44</v>
      </c>
      <c r="H1376" t="s">
        <v>6085</v>
      </c>
    </row>
    <row r="1377" spans="1:8" x14ac:dyDescent="0.35">
      <c r="A1377" t="s">
        <v>6086</v>
      </c>
      <c r="B1377" t="str">
        <f>"9780292793651"</f>
        <v>9780292793651</v>
      </c>
      <c r="C1377" t="s">
        <v>6087</v>
      </c>
      <c r="D1377" t="s">
        <v>6088</v>
      </c>
      <c r="E1377" t="s">
        <v>5849</v>
      </c>
      <c r="G1377" t="s">
        <v>3510</v>
      </c>
      <c r="H1377" t="s">
        <v>6089</v>
      </c>
    </row>
    <row r="1378" spans="1:8" x14ac:dyDescent="0.35">
      <c r="A1378" t="s">
        <v>6090</v>
      </c>
      <c r="B1378" t="str">
        <f>"9780292795211"</f>
        <v>9780292795211</v>
      </c>
      <c r="C1378" t="s">
        <v>6091</v>
      </c>
      <c r="D1378" t="s">
        <v>2507</v>
      </c>
      <c r="E1378" t="s">
        <v>5849</v>
      </c>
      <c r="G1378" t="s">
        <v>2968</v>
      </c>
      <c r="H1378" t="s">
        <v>6092</v>
      </c>
    </row>
    <row r="1379" spans="1:8" x14ac:dyDescent="0.35">
      <c r="A1379" t="s">
        <v>6093</v>
      </c>
      <c r="B1379" t="str">
        <f>"9780292795228"</f>
        <v>9780292795228</v>
      </c>
      <c r="C1379" t="s">
        <v>6094</v>
      </c>
      <c r="D1379" t="s">
        <v>6095</v>
      </c>
      <c r="E1379" t="s">
        <v>5849</v>
      </c>
      <c r="G1379" t="s">
        <v>39</v>
      </c>
      <c r="H1379" t="s">
        <v>6096</v>
      </c>
    </row>
    <row r="1380" spans="1:8" x14ac:dyDescent="0.35">
      <c r="A1380" t="s">
        <v>6097</v>
      </c>
      <c r="B1380" t="str">
        <f>"9780292793590"</f>
        <v>9780292793590</v>
      </c>
      <c r="C1380" t="s">
        <v>6098</v>
      </c>
      <c r="D1380" t="s">
        <v>6099</v>
      </c>
      <c r="E1380" t="s">
        <v>5849</v>
      </c>
      <c r="G1380" t="s">
        <v>305</v>
      </c>
      <c r="H1380" t="s">
        <v>6100</v>
      </c>
    </row>
    <row r="1381" spans="1:8" x14ac:dyDescent="0.35">
      <c r="A1381" t="s">
        <v>6101</v>
      </c>
      <c r="B1381" t="str">
        <f>"9780292793606"</f>
        <v>9780292793606</v>
      </c>
      <c r="C1381" t="s">
        <v>6102</v>
      </c>
      <c r="D1381" t="s">
        <v>6103</v>
      </c>
      <c r="E1381" t="s">
        <v>5849</v>
      </c>
      <c r="G1381" t="s">
        <v>60</v>
      </c>
      <c r="H1381" t="s">
        <v>6104</v>
      </c>
    </row>
    <row r="1382" spans="1:8" x14ac:dyDescent="0.35">
      <c r="A1382" t="s">
        <v>6105</v>
      </c>
      <c r="B1382" t="str">
        <f>"9780292799240"</f>
        <v>9780292799240</v>
      </c>
      <c r="C1382" t="s">
        <v>6106</v>
      </c>
      <c r="D1382" t="s">
        <v>6107</v>
      </c>
      <c r="E1382" t="s">
        <v>5849</v>
      </c>
      <c r="G1382" t="s">
        <v>39</v>
      </c>
      <c r="H1382" t="s">
        <v>6108</v>
      </c>
    </row>
    <row r="1383" spans="1:8" x14ac:dyDescent="0.35">
      <c r="A1383" t="s">
        <v>6109</v>
      </c>
      <c r="B1383" t="str">
        <f>"9780292799172"</f>
        <v>9780292799172</v>
      </c>
      <c r="C1383" t="s">
        <v>6110</v>
      </c>
      <c r="D1383" t="s">
        <v>2507</v>
      </c>
      <c r="E1383" t="s">
        <v>5849</v>
      </c>
      <c r="G1383" t="s">
        <v>60</v>
      </c>
      <c r="H1383" t="s">
        <v>6111</v>
      </c>
    </row>
    <row r="1384" spans="1:8" x14ac:dyDescent="0.35">
      <c r="A1384" t="s">
        <v>6112</v>
      </c>
      <c r="B1384" t="str">
        <f>"9780292799189"</f>
        <v>9780292799189</v>
      </c>
      <c r="C1384" t="s">
        <v>6113</v>
      </c>
      <c r="D1384" t="s">
        <v>6114</v>
      </c>
      <c r="E1384" t="s">
        <v>5849</v>
      </c>
      <c r="G1384" t="s">
        <v>83</v>
      </c>
      <c r="H1384" t="s">
        <v>6115</v>
      </c>
    </row>
    <row r="1385" spans="1:8" x14ac:dyDescent="0.35">
      <c r="A1385" t="s">
        <v>6116</v>
      </c>
      <c r="B1385" t="str">
        <f>"9780292799141"</f>
        <v>9780292799141</v>
      </c>
      <c r="C1385" t="s">
        <v>6117</v>
      </c>
      <c r="D1385" t="s">
        <v>6118</v>
      </c>
      <c r="E1385" t="s">
        <v>5849</v>
      </c>
      <c r="F1385" t="s">
        <v>6119</v>
      </c>
      <c r="G1385" t="s">
        <v>139</v>
      </c>
      <c r="H1385" t="s">
        <v>6120</v>
      </c>
    </row>
    <row r="1386" spans="1:8" x14ac:dyDescent="0.35">
      <c r="A1386" t="s">
        <v>6121</v>
      </c>
      <c r="B1386" t="str">
        <f>"9780292799097"</f>
        <v>9780292799097</v>
      </c>
      <c r="C1386" t="s">
        <v>6122</v>
      </c>
      <c r="D1386" t="s">
        <v>6123</v>
      </c>
      <c r="E1386" t="s">
        <v>5849</v>
      </c>
      <c r="F1386" t="s">
        <v>6124</v>
      </c>
      <c r="G1386" t="s">
        <v>39</v>
      </c>
      <c r="H1386" t="s">
        <v>6125</v>
      </c>
    </row>
    <row r="1387" spans="1:8" x14ac:dyDescent="0.35">
      <c r="A1387" t="s">
        <v>6126</v>
      </c>
      <c r="B1387" t="str">
        <f>"9780292793538"</f>
        <v>9780292793538</v>
      </c>
      <c r="C1387" t="s">
        <v>6127</v>
      </c>
      <c r="D1387" t="s">
        <v>6128</v>
      </c>
      <c r="E1387" t="s">
        <v>5849</v>
      </c>
      <c r="F1387" t="s">
        <v>6129</v>
      </c>
      <c r="G1387" t="s">
        <v>60</v>
      </c>
      <c r="H1387" t="s">
        <v>6130</v>
      </c>
    </row>
    <row r="1388" spans="1:8" x14ac:dyDescent="0.35">
      <c r="A1388" t="s">
        <v>6131</v>
      </c>
      <c r="B1388" t="str">
        <f>"9780292795181"</f>
        <v>9780292795181</v>
      </c>
      <c r="C1388" t="s">
        <v>6132</v>
      </c>
      <c r="D1388" t="s">
        <v>6133</v>
      </c>
      <c r="E1388" t="s">
        <v>5849</v>
      </c>
      <c r="F1388" t="s">
        <v>6134</v>
      </c>
      <c r="G1388" t="s">
        <v>39</v>
      </c>
      <c r="H1388" t="s">
        <v>6135</v>
      </c>
    </row>
    <row r="1389" spans="1:8" x14ac:dyDescent="0.35">
      <c r="A1389" t="s">
        <v>6136</v>
      </c>
      <c r="B1389" t="str">
        <f>"9780292793439"</f>
        <v>9780292793439</v>
      </c>
      <c r="C1389" t="s">
        <v>6137</v>
      </c>
      <c r="D1389" t="s">
        <v>6138</v>
      </c>
      <c r="E1389" t="s">
        <v>5849</v>
      </c>
      <c r="G1389" t="s">
        <v>44</v>
      </c>
      <c r="H1389" t="s">
        <v>6139</v>
      </c>
    </row>
    <row r="1390" spans="1:8" x14ac:dyDescent="0.35">
      <c r="A1390" t="s">
        <v>6140</v>
      </c>
      <c r="B1390" t="str">
        <f>"9780292795167"</f>
        <v>9780292795167</v>
      </c>
      <c r="C1390" t="s">
        <v>6141</v>
      </c>
      <c r="D1390" t="s">
        <v>6142</v>
      </c>
      <c r="E1390" t="s">
        <v>5849</v>
      </c>
      <c r="G1390" t="s">
        <v>305</v>
      </c>
      <c r="H1390" t="s">
        <v>6143</v>
      </c>
    </row>
    <row r="1391" spans="1:8" x14ac:dyDescent="0.35">
      <c r="A1391" t="s">
        <v>6144</v>
      </c>
      <c r="B1391" t="str">
        <f>"9780292795150"</f>
        <v>9780292795150</v>
      </c>
      <c r="C1391" t="s">
        <v>6145</v>
      </c>
      <c r="D1391" t="s">
        <v>6146</v>
      </c>
      <c r="E1391" t="s">
        <v>5849</v>
      </c>
      <c r="F1391" t="s">
        <v>6147</v>
      </c>
      <c r="G1391" t="s">
        <v>83</v>
      </c>
      <c r="H1391" t="s">
        <v>6148</v>
      </c>
    </row>
    <row r="1392" spans="1:8" x14ac:dyDescent="0.35">
      <c r="A1392" t="s">
        <v>6149</v>
      </c>
      <c r="B1392" t="str">
        <f>"9780292793415"</f>
        <v>9780292793415</v>
      </c>
      <c r="C1392" t="s">
        <v>6150</v>
      </c>
      <c r="D1392" t="s">
        <v>6151</v>
      </c>
      <c r="E1392" t="s">
        <v>5849</v>
      </c>
      <c r="G1392" t="s">
        <v>44</v>
      </c>
      <c r="H1392" t="s">
        <v>6152</v>
      </c>
    </row>
    <row r="1393" spans="1:8" x14ac:dyDescent="0.35">
      <c r="A1393" t="s">
        <v>6153</v>
      </c>
      <c r="B1393" t="str">
        <f>"9780292795198"</f>
        <v>9780292795198</v>
      </c>
      <c r="C1393" t="s">
        <v>6154</v>
      </c>
      <c r="D1393" t="s">
        <v>6155</v>
      </c>
      <c r="E1393" t="s">
        <v>5849</v>
      </c>
      <c r="F1393" t="s">
        <v>6156</v>
      </c>
      <c r="G1393" t="s">
        <v>44</v>
      </c>
      <c r="H1393" t="s">
        <v>6157</v>
      </c>
    </row>
    <row r="1394" spans="1:8" x14ac:dyDescent="0.35">
      <c r="A1394" t="s">
        <v>6158</v>
      </c>
      <c r="B1394" t="str">
        <f>"9780292793033"</f>
        <v>9780292793033</v>
      </c>
      <c r="C1394" t="s">
        <v>6159</v>
      </c>
      <c r="D1394" t="s">
        <v>6160</v>
      </c>
      <c r="E1394" t="s">
        <v>5849</v>
      </c>
      <c r="G1394" t="s">
        <v>60</v>
      </c>
      <c r="H1394" t="s">
        <v>6161</v>
      </c>
    </row>
    <row r="1395" spans="1:8" x14ac:dyDescent="0.35">
      <c r="A1395" t="s">
        <v>6162</v>
      </c>
      <c r="B1395" t="str">
        <f>"9780292793446"</f>
        <v>9780292793446</v>
      </c>
      <c r="C1395" t="s">
        <v>6163</v>
      </c>
      <c r="D1395" t="s">
        <v>6164</v>
      </c>
      <c r="E1395" t="s">
        <v>5849</v>
      </c>
      <c r="G1395" t="s">
        <v>39</v>
      </c>
      <c r="H1395" t="s">
        <v>6165</v>
      </c>
    </row>
    <row r="1396" spans="1:8" x14ac:dyDescent="0.35">
      <c r="A1396" t="s">
        <v>6166</v>
      </c>
      <c r="B1396" t="str">
        <f>"9780292793361"</f>
        <v>9780292793361</v>
      </c>
      <c r="C1396" t="s">
        <v>6167</v>
      </c>
      <c r="D1396" t="s">
        <v>6168</v>
      </c>
      <c r="E1396" t="s">
        <v>5849</v>
      </c>
      <c r="G1396" t="s">
        <v>197</v>
      </c>
      <c r="H1396" t="s">
        <v>6169</v>
      </c>
    </row>
    <row r="1397" spans="1:8" x14ac:dyDescent="0.35">
      <c r="A1397" t="s">
        <v>6170</v>
      </c>
      <c r="B1397" t="str">
        <f>"9780292793422"</f>
        <v>9780292793422</v>
      </c>
      <c r="C1397" t="s">
        <v>6171</v>
      </c>
      <c r="D1397" t="s">
        <v>6172</v>
      </c>
      <c r="E1397" t="s">
        <v>5849</v>
      </c>
      <c r="G1397" t="s">
        <v>5454</v>
      </c>
      <c r="H1397" t="s">
        <v>6173</v>
      </c>
    </row>
    <row r="1398" spans="1:8" x14ac:dyDescent="0.35">
      <c r="A1398" t="s">
        <v>6174</v>
      </c>
      <c r="B1398" t="str">
        <f>"9780292793040"</f>
        <v>9780292793040</v>
      </c>
      <c r="C1398" t="s">
        <v>6175</v>
      </c>
      <c r="D1398" t="s">
        <v>6176</v>
      </c>
      <c r="E1398" t="s">
        <v>5849</v>
      </c>
      <c r="G1398" t="s">
        <v>44</v>
      </c>
      <c r="H1398" t="s">
        <v>6177</v>
      </c>
    </row>
    <row r="1399" spans="1:8" x14ac:dyDescent="0.35">
      <c r="A1399" t="s">
        <v>6178</v>
      </c>
      <c r="B1399" t="str">
        <f>"9780292792814"</f>
        <v>9780292792814</v>
      </c>
      <c r="C1399" t="s">
        <v>6179</v>
      </c>
      <c r="D1399" t="s">
        <v>6180</v>
      </c>
      <c r="E1399" t="s">
        <v>5849</v>
      </c>
      <c r="G1399" t="s">
        <v>60</v>
      </c>
      <c r="H1399" t="s">
        <v>6181</v>
      </c>
    </row>
    <row r="1400" spans="1:8" x14ac:dyDescent="0.35">
      <c r="A1400" t="s">
        <v>6182</v>
      </c>
      <c r="B1400" t="str">
        <f>"9780292793057"</f>
        <v>9780292793057</v>
      </c>
      <c r="C1400" t="s">
        <v>6183</v>
      </c>
      <c r="D1400" t="s">
        <v>6184</v>
      </c>
      <c r="E1400" t="s">
        <v>5849</v>
      </c>
      <c r="G1400" t="s">
        <v>44</v>
      </c>
      <c r="H1400" t="s">
        <v>6185</v>
      </c>
    </row>
    <row r="1401" spans="1:8" x14ac:dyDescent="0.35">
      <c r="A1401" t="s">
        <v>6186</v>
      </c>
      <c r="B1401" t="str">
        <f>"9780292792999"</f>
        <v>9780292792999</v>
      </c>
      <c r="C1401" t="s">
        <v>6187</v>
      </c>
      <c r="D1401" t="s">
        <v>6188</v>
      </c>
      <c r="E1401" t="s">
        <v>5849</v>
      </c>
      <c r="G1401" t="s">
        <v>44</v>
      </c>
      <c r="H1401" t="s">
        <v>6189</v>
      </c>
    </row>
    <row r="1402" spans="1:8" x14ac:dyDescent="0.35">
      <c r="A1402" t="s">
        <v>6190</v>
      </c>
      <c r="B1402" t="str">
        <f>"9780292792913"</f>
        <v>9780292792913</v>
      </c>
      <c r="C1402" t="s">
        <v>6191</v>
      </c>
      <c r="D1402" t="s">
        <v>6192</v>
      </c>
      <c r="E1402" t="s">
        <v>5849</v>
      </c>
      <c r="G1402" t="s">
        <v>39</v>
      </c>
      <c r="H1402" t="s">
        <v>6193</v>
      </c>
    </row>
    <row r="1403" spans="1:8" x14ac:dyDescent="0.35">
      <c r="A1403" t="s">
        <v>6194</v>
      </c>
      <c r="B1403" t="str">
        <f>"9780292792845"</f>
        <v>9780292792845</v>
      </c>
      <c r="C1403" t="s">
        <v>6195</v>
      </c>
      <c r="D1403" t="s">
        <v>6196</v>
      </c>
      <c r="E1403" t="s">
        <v>5849</v>
      </c>
      <c r="G1403" t="s">
        <v>60</v>
      </c>
      <c r="H1403" t="s">
        <v>6197</v>
      </c>
    </row>
    <row r="1404" spans="1:8" x14ac:dyDescent="0.35">
      <c r="A1404" t="s">
        <v>6198</v>
      </c>
      <c r="B1404" t="str">
        <f>"9780292793026"</f>
        <v>9780292793026</v>
      </c>
      <c r="C1404" t="s">
        <v>6199</v>
      </c>
      <c r="D1404" t="s">
        <v>6200</v>
      </c>
      <c r="E1404" t="s">
        <v>5849</v>
      </c>
      <c r="G1404" t="s">
        <v>55</v>
      </c>
      <c r="H1404" t="s">
        <v>6201</v>
      </c>
    </row>
    <row r="1405" spans="1:8" x14ac:dyDescent="0.35">
      <c r="A1405" t="s">
        <v>6202</v>
      </c>
      <c r="B1405" t="str">
        <f>"9780292793002"</f>
        <v>9780292793002</v>
      </c>
      <c r="C1405" t="s">
        <v>6203</v>
      </c>
      <c r="D1405" t="s">
        <v>6204</v>
      </c>
      <c r="E1405" t="s">
        <v>5849</v>
      </c>
      <c r="G1405" t="s">
        <v>6205</v>
      </c>
      <c r="H1405" t="s">
        <v>6206</v>
      </c>
    </row>
    <row r="1406" spans="1:8" x14ac:dyDescent="0.35">
      <c r="A1406" t="s">
        <v>6207</v>
      </c>
      <c r="B1406" t="str">
        <f>"9780292792418"</f>
        <v>9780292792418</v>
      </c>
      <c r="C1406" t="s">
        <v>6208</v>
      </c>
      <c r="D1406" t="s">
        <v>6209</v>
      </c>
      <c r="E1406" t="s">
        <v>5849</v>
      </c>
      <c r="G1406" t="s">
        <v>83</v>
      </c>
      <c r="H1406" t="s">
        <v>6210</v>
      </c>
    </row>
    <row r="1407" spans="1:8" x14ac:dyDescent="0.35">
      <c r="A1407" t="s">
        <v>6211</v>
      </c>
      <c r="B1407" t="str">
        <f>"9780292792883"</f>
        <v>9780292792883</v>
      </c>
      <c r="C1407" t="s">
        <v>6212</v>
      </c>
      <c r="D1407" t="s">
        <v>6213</v>
      </c>
      <c r="E1407" t="s">
        <v>5849</v>
      </c>
      <c r="G1407" t="s">
        <v>83</v>
      </c>
      <c r="H1407" t="s">
        <v>6214</v>
      </c>
    </row>
    <row r="1408" spans="1:8" x14ac:dyDescent="0.35">
      <c r="A1408" t="s">
        <v>6215</v>
      </c>
      <c r="B1408" t="str">
        <f>"9780292793071"</f>
        <v>9780292793071</v>
      </c>
      <c r="C1408" t="s">
        <v>6216</v>
      </c>
      <c r="D1408" t="s">
        <v>6217</v>
      </c>
      <c r="E1408" t="s">
        <v>5849</v>
      </c>
      <c r="G1408" t="s">
        <v>139</v>
      </c>
      <c r="H1408" t="s">
        <v>6218</v>
      </c>
    </row>
    <row r="1409" spans="1:8" x14ac:dyDescent="0.35">
      <c r="A1409" t="s">
        <v>6219</v>
      </c>
      <c r="B1409" t="str">
        <f>"9780292784772"</f>
        <v>9780292784772</v>
      </c>
      <c r="C1409" t="s">
        <v>6220</v>
      </c>
      <c r="D1409" t="s">
        <v>6221</v>
      </c>
      <c r="E1409" t="s">
        <v>5849</v>
      </c>
      <c r="G1409" t="s">
        <v>2624</v>
      </c>
      <c r="H1409" t="s">
        <v>6222</v>
      </c>
    </row>
    <row r="1410" spans="1:8" x14ac:dyDescent="0.35">
      <c r="A1410" t="s">
        <v>6223</v>
      </c>
      <c r="B1410" t="str">
        <f>"9780292784833"</f>
        <v>9780292784833</v>
      </c>
      <c r="C1410" t="s">
        <v>6224</v>
      </c>
      <c r="D1410" t="s">
        <v>6225</v>
      </c>
      <c r="E1410" t="s">
        <v>5849</v>
      </c>
      <c r="G1410" t="s">
        <v>112</v>
      </c>
      <c r="H1410" t="s">
        <v>6226</v>
      </c>
    </row>
    <row r="1411" spans="1:8" x14ac:dyDescent="0.35">
      <c r="A1411" t="s">
        <v>6227</v>
      </c>
      <c r="B1411" t="str">
        <f>"9780292734807"</f>
        <v>9780292734807</v>
      </c>
      <c r="C1411" t="s">
        <v>6228</v>
      </c>
      <c r="D1411" t="s">
        <v>6229</v>
      </c>
      <c r="E1411" t="s">
        <v>5849</v>
      </c>
      <c r="F1411" t="s">
        <v>6119</v>
      </c>
      <c r="G1411" t="s">
        <v>44</v>
      </c>
      <c r="H1411" t="s">
        <v>6230</v>
      </c>
    </row>
    <row r="1412" spans="1:8" x14ac:dyDescent="0.35">
      <c r="A1412" t="s">
        <v>6231</v>
      </c>
      <c r="B1412" t="str">
        <f>"9780292729995"</f>
        <v>9780292729995</v>
      </c>
      <c r="C1412" t="s">
        <v>6232</v>
      </c>
      <c r="D1412" t="s">
        <v>6233</v>
      </c>
      <c r="E1412" t="s">
        <v>5849</v>
      </c>
      <c r="G1412" t="s">
        <v>419</v>
      </c>
      <c r="H1412" t="s">
        <v>6234</v>
      </c>
    </row>
    <row r="1413" spans="1:8" x14ac:dyDescent="0.35">
      <c r="A1413" t="s">
        <v>6235</v>
      </c>
      <c r="B1413" t="str">
        <f>"9780292729988"</f>
        <v>9780292729988</v>
      </c>
      <c r="C1413" t="s">
        <v>6236</v>
      </c>
      <c r="D1413" t="s">
        <v>6237</v>
      </c>
      <c r="E1413" t="s">
        <v>5849</v>
      </c>
      <c r="G1413" t="s">
        <v>96</v>
      </c>
      <c r="H1413" t="s">
        <v>6238</v>
      </c>
    </row>
    <row r="1414" spans="1:8" x14ac:dyDescent="0.35">
      <c r="A1414" t="s">
        <v>6239</v>
      </c>
      <c r="B1414" t="str">
        <f>"9780292734791"</f>
        <v>9780292734791</v>
      </c>
      <c r="C1414" t="s">
        <v>6240</v>
      </c>
      <c r="D1414" t="s">
        <v>6241</v>
      </c>
      <c r="E1414" t="s">
        <v>5849</v>
      </c>
      <c r="G1414" t="s">
        <v>139</v>
      </c>
      <c r="H1414" t="s">
        <v>6242</v>
      </c>
    </row>
    <row r="1415" spans="1:8" x14ac:dyDescent="0.35">
      <c r="A1415" t="s">
        <v>6243</v>
      </c>
      <c r="B1415" t="str">
        <f>"9780292729971"</f>
        <v>9780292729971</v>
      </c>
      <c r="C1415" t="s">
        <v>6244</v>
      </c>
      <c r="D1415" t="s">
        <v>6245</v>
      </c>
      <c r="E1415" t="s">
        <v>5849</v>
      </c>
      <c r="G1415" t="s">
        <v>3237</v>
      </c>
      <c r="H1415" t="s">
        <v>6246</v>
      </c>
    </row>
    <row r="1416" spans="1:8" x14ac:dyDescent="0.35">
      <c r="A1416" t="s">
        <v>6247</v>
      </c>
      <c r="B1416" t="str">
        <f>"9780292729964"</f>
        <v>9780292729964</v>
      </c>
      <c r="C1416" t="s">
        <v>6248</v>
      </c>
      <c r="D1416" t="s">
        <v>6249</v>
      </c>
      <c r="E1416" t="s">
        <v>5849</v>
      </c>
      <c r="G1416" t="s">
        <v>60</v>
      </c>
      <c r="H1416" t="s">
        <v>6250</v>
      </c>
    </row>
    <row r="1417" spans="1:8" x14ac:dyDescent="0.35">
      <c r="A1417" t="s">
        <v>6251</v>
      </c>
      <c r="B1417" t="str">
        <f>"9780292734739"</f>
        <v>9780292734739</v>
      </c>
      <c r="C1417" t="s">
        <v>6252</v>
      </c>
      <c r="D1417" t="s">
        <v>6253</v>
      </c>
      <c r="E1417" t="s">
        <v>5849</v>
      </c>
      <c r="G1417" t="s">
        <v>39</v>
      </c>
      <c r="H1417" t="s">
        <v>6254</v>
      </c>
    </row>
    <row r="1418" spans="1:8" x14ac:dyDescent="0.35">
      <c r="A1418" t="s">
        <v>6255</v>
      </c>
      <c r="B1418" t="str">
        <f>"9780292734777"</f>
        <v>9780292734777</v>
      </c>
      <c r="C1418" t="s">
        <v>6256</v>
      </c>
      <c r="D1418" t="s">
        <v>6257</v>
      </c>
      <c r="E1418" t="s">
        <v>5849</v>
      </c>
      <c r="G1418" t="s">
        <v>268</v>
      </c>
      <c r="H1418" t="s">
        <v>6258</v>
      </c>
    </row>
    <row r="1419" spans="1:8" x14ac:dyDescent="0.35">
      <c r="A1419" t="s">
        <v>6259</v>
      </c>
      <c r="B1419" t="str">
        <f>"9780292734838"</f>
        <v>9780292734838</v>
      </c>
      <c r="C1419" t="s">
        <v>6260</v>
      </c>
      <c r="D1419" t="s">
        <v>6261</v>
      </c>
      <c r="E1419" t="s">
        <v>5849</v>
      </c>
      <c r="G1419" t="s">
        <v>28</v>
      </c>
      <c r="H1419" t="s">
        <v>6262</v>
      </c>
    </row>
    <row r="1420" spans="1:8" x14ac:dyDescent="0.35">
      <c r="A1420" t="s">
        <v>6263</v>
      </c>
      <c r="B1420" t="str">
        <f>"9780292734722"</f>
        <v>9780292734722</v>
      </c>
      <c r="C1420" t="s">
        <v>6264</v>
      </c>
      <c r="D1420" t="s">
        <v>6265</v>
      </c>
      <c r="E1420" t="s">
        <v>5849</v>
      </c>
      <c r="G1420" t="s">
        <v>6266</v>
      </c>
      <c r="H1420" t="s">
        <v>6267</v>
      </c>
    </row>
    <row r="1421" spans="1:8" x14ac:dyDescent="0.35">
      <c r="A1421" t="s">
        <v>6268</v>
      </c>
      <c r="B1421" t="str">
        <f>"9780292729957"</f>
        <v>9780292729957</v>
      </c>
      <c r="C1421" t="s">
        <v>6269</v>
      </c>
      <c r="D1421" t="s">
        <v>6270</v>
      </c>
      <c r="E1421" t="s">
        <v>5849</v>
      </c>
      <c r="G1421" t="s">
        <v>139</v>
      </c>
      <c r="H1421" t="s">
        <v>6271</v>
      </c>
    </row>
    <row r="1422" spans="1:8" x14ac:dyDescent="0.35">
      <c r="A1422" t="s">
        <v>6272</v>
      </c>
      <c r="B1422" t="str">
        <f>"9780292734845"</f>
        <v>9780292734845</v>
      </c>
      <c r="C1422" t="s">
        <v>6273</v>
      </c>
      <c r="D1422" t="s">
        <v>6274</v>
      </c>
      <c r="E1422" t="s">
        <v>5849</v>
      </c>
      <c r="F1422" t="s">
        <v>6119</v>
      </c>
      <c r="G1422" t="s">
        <v>55</v>
      </c>
      <c r="H1422" t="s">
        <v>6275</v>
      </c>
    </row>
    <row r="1423" spans="1:8" x14ac:dyDescent="0.35">
      <c r="A1423" t="s">
        <v>6276</v>
      </c>
      <c r="B1423" t="str">
        <f>"9780292729933"</f>
        <v>9780292729933</v>
      </c>
      <c r="C1423" t="s">
        <v>6277</v>
      </c>
      <c r="D1423" t="s">
        <v>6278</v>
      </c>
      <c r="E1423" t="s">
        <v>5849</v>
      </c>
      <c r="F1423" t="s">
        <v>6279</v>
      </c>
      <c r="G1423" t="s">
        <v>44</v>
      </c>
      <c r="H1423" t="s">
        <v>6280</v>
      </c>
    </row>
    <row r="1424" spans="1:8" x14ac:dyDescent="0.35">
      <c r="A1424" t="s">
        <v>6281</v>
      </c>
      <c r="B1424" t="str">
        <f>"9780292735460"</f>
        <v>9780292735460</v>
      </c>
      <c r="C1424" t="s">
        <v>6282</v>
      </c>
      <c r="D1424" t="s">
        <v>4087</v>
      </c>
      <c r="E1424" t="s">
        <v>5849</v>
      </c>
      <c r="G1424" t="s">
        <v>44</v>
      </c>
      <c r="H1424" t="s">
        <v>6283</v>
      </c>
    </row>
    <row r="1425" spans="1:8" x14ac:dyDescent="0.35">
      <c r="A1425" t="s">
        <v>6284</v>
      </c>
      <c r="B1425" t="str">
        <f>"9780292737679"</f>
        <v>9780292737679</v>
      </c>
      <c r="C1425" t="s">
        <v>6285</v>
      </c>
      <c r="D1425" t="s">
        <v>6286</v>
      </c>
      <c r="E1425" t="s">
        <v>5849</v>
      </c>
      <c r="F1425" t="s">
        <v>6119</v>
      </c>
      <c r="G1425" t="s">
        <v>761</v>
      </c>
      <c r="H1425" t="s">
        <v>6287</v>
      </c>
    </row>
    <row r="1426" spans="1:8" x14ac:dyDescent="0.35">
      <c r="A1426" t="s">
        <v>6288</v>
      </c>
      <c r="B1426" t="str">
        <f>"9780292734951"</f>
        <v>9780292734951</v>
      </c>
      <c r="C1426" t="s">
        <v>6289</v>
      </c>
      <c r="D1426" t="s">
        <v>6290</v>
      </c>
      <c r="E1426" t="s">
        <v>5849</v>
      </c>
      <c r="G1426" t="s">
        <v>146</v>
      </c>
      <c r="H1426" t="s">
        <v>6291</v>
      </c>
    </row>
    <row r="1427" spans="1:8" x14ac:dyDescent="0.35">
      <c r="A1427" t="s">
        <v>6292</v>
      </c>
      <c r="B1427" t="str">
        <f>"9780292735392"</f>
        <v>9780292735392</v>
      </c>
      <c r="C1427" t="s">
        <v>6293</v>
      </c>
      <c r="D1427" t="s">
        <v>6294</v>
      </c>
      <c r="E1427" t="s">
        <v>5849</v>
      </c>
      <c r="G1427" t="s">
        <v>44</v>
      </c>
      <c r="H1427" t="s">
        <v>6295</v>
      </c>
    </row>
    <row r="1428" spans="1:8" x14ac:dyDescent="0.35">
      <c r="A1428" t="s">
        <v>6296</v>
      </c>
      <c r="B1428" t="str">
        <f>"9780292735477"</f>
        <v>9780292735477</v>
      </c>
      <c r="C1428" t="s">
        <v>6297</v>
      </c>
      <c r="D1428" t="s">
        <v>6298</v>
      </c>
      <c r="E1428" t="s">
        <v>5849</v>
      </c>
      <c r="G1428" t="s">
        <v>44</v>
      </c>
      <c r="H1428" t="s">
        <v>6299</v>
      </c>
    </row>
    <row r="1429" spans="1:8" x14ac:dyDescent="0.35">
      <c r="A1429" t="s">
        <v>6300</v>
      </c>
      <c r="B1429" t="str">
        <f>"9780292735347"</f>
        <v>9780292735347</v>
      </c>
      <c r="C1429" t="s">
        <v>6301</v>
      </c>
      <c r="D1429" t="s">
        <v>6302</v>
      </c>
      <c r="E1429" t="s">
        <v>5849</v>
      </c>
      <c r="G1429" t="s">
        <v>39</v>
      </c>
      <c r="H1429" t="s">
        <v>6303</v>
      </c>
    </row>
    <row r="1430" spans="1:8" x14ac:dyDescent="0.35">
      <c r="A1430" t="s">
        <v>6304</v>
      </c>
      <c r="B1430" t="str">
        <f>"9780292735446"</f>
        <v>9780292735446</v>
      </c>
      <c r="C1430" t="s">
        <v>6305</v>
      </c>
      <c r="D1430" t="s">
        <v>6306</v>
      </c>
      <c r="E1430" t="s">
        <v>5849</v>
      </c>
      <c r="G1430" t="s">
        <v>60</v>
      </c>
      <c r="H1430" t="s">
        <v>6307</v>
      </c>
    </row>
    <row r="1431" spans="1:8" x14ac:dyDescent="0.35">
      <c r="A1431" t="s">
        <v>6308</v>
      </c>
      <c r="B1431" t="str">
        <f>"9780292737068"</f>
        <v>9780292737068</v>
      </c>
      <c r="C1431" t="s">
        <v>6309</v>
      </c>
      <c r="D1431" t="s">
        <v>5661</v>
      </c>
      <c r="E1431" t="s">
        <v>5849</v>
      </c>
      <c r="F1431" t="s">
        <v>6119</v>
      </c>
      <c r="G1431" t="s">
        <v>44</v>
      </c>
      <c r="H1431" t="s">
        <v>6310</v>
      </c>
    </row>
    <row r="1432" spans="1:8" x14ac:dyDescent="0.35">
      <c r="A1432" t="s">
        <v>6311</v>
      </c>
      <c r="B1432" t="str">
        <f>"9780292737198"</f>
        <v>9780292737198</v>
      </c>
      <c r="C1432" t="s">
        <v>6312</v>
      </c>
      <c r="D1432" t="s">
        <v>6313</v>
      </c>
      <c r="E1432" t="s">
        <v>5849</v>
      </c>
      <c r="F1432" t="s">
        <v>6129</v>
      </c>
      <c r="G1432" t="s">
        <v>44</v>
      </c>
      <c r="H1432" t="s">
        <v>6314</v>
      </c>
    </row>
    <row r="1433" spans="1:8" x14ac:dyDescent="0.35">
      <c r="A1433" t="s">
        <v>6315</v>
      </c>
      <c r="B1433" t="str">
        <f>"9780292737396"</f>
        <v>9780292737396</v>
      </c>
      <c r="C1433" t="s">
        <v>6316</v>
      </c>
      <c r="D1433" t="s">
        <v>6317</v>
      </c>
      <c r="E1433" t="s">
        <v>5849</v>
      </c>
      <c r="F1433" t="s">
        <v>6119</v>
      </c>
      <c r="G1433" t="s">
        <v>44</v>
      </c>
      <c r="H1433" t="s">
        <v>6318</v>
      </c>
    </row>
    <row r="1434" spans="1:8" x14ac:dyDescent="0.35">
      <c r="A1434" t="s">
        <v>6319</v>
      </c>
      <c r="B1434" t="str">
        <f>"9780292735705"</f>
        <v>9780292735705</v>
      </c>
      <c r="C1434" t="s">
        <v>6320</v>
      </c>
      <c r="D1434" t="s">
        <v>6321</v>
      </c>
      <c r="E1434" t="s">
        <v>5849</v>
      </c>
      <c r="G1434" t="s">
        <v>6322</v>
      </c>
      <c r="H1434" t="s">
        <v>6323</v>
      </c>
    </row>
    <row r="1435" spans="1:8" x14ac:dyDescent="0.35">
      <c r="A1435" t="s">
        <v>6324</v>
      </c>
      <c r="B1435" t="str">
        <f>"9780292737600"</f>
        <v>9780292737600</v>
      </c>
      <c r="C1435" t="s">
        <v>6325</v>
      </c>
      <c r="D1435" t="s">
        <v>6326</v>
      </c>
      <c r="E1435" t="s">
        <v>5849</v>
      </c>
      <c r="F1435" t="s">
        <v>6124</v>
      </c>
      <c r="G1435" t="s">
        <v>44</v>
      </c>
      <c r="H1435" t="s">
        <v>6327</v>
      </c>
    </row>
    <row r="1436" spans="1:8" x14ac:dyDescent="0.35">
      <c r="A1436" t="s">
        <v>6328</v>
      </c>
      <c r="B1436" t="str">
        <f>"9780292737785"</f>
        <v>9780292737785</v>
      </c>
      <c r="C1436" t="s">
        <v>6329</v>
      </c>
      <c r="D1436" t="s">
        <v>6330</v>
      </c>
      <c r="E1436" t="s">
        <v>5849</v>
      </c>
      <c r="F1436" t="s">
        <v>6119</v>
      </c>
      <c r="G1436" t="s">
        <v>60</v>
      </c>
      <c r="H1436" t="s">
        <v>6331</v>
      </c>
    </row>
    <row r="1437" spans="1:8" x14ac:dyDescent="0.35">
      <c r="A1437" t="s">
        <v>6332</v>
      </c>
      <c r="B1437" t="str">
        <f>"9780292737891"</f>
        <v>9780292737891</v>
      </c>
      <c r="C1437" t="s">
        <v>6333</v>
      </c>
      <c r="D1437" t="s">
        <v>6334</v>
      </c>
      <c r="E1437" t="s">
        <v>5849</v>
      </c>
      <c r="G1437" t="s">
        <v>44</v>
      </c>
      <c r="H1437" t="s">
        <v>6335</v>
      </c>
    </row>
    <row r="1438" spans="1:8" x14ac:dyDescent="0.35">
      <c r="A1438" t="s">
        <v>6336</v>
      </c>
      <c r="B1438" t="str">
        <f>"9780292739147"</f>
        <v>9780292739147</v>
      </c>
      <c r="C1438" t="s">
        <v>6337</v>
      </c>
      <c r="D1438" t="s">
        <v>6338</v>
      </c>
      <c r="E1438" t="s">
        <v>5849</v>
      </c>
      <c r="G1438" t="s">
        <v>376</v>
      </c>
      <c r="H1438" t="s">
        <v>6339</v>
      </c>
    </row>
    <row r="1439" spans="1:8" x14ac:dyDescent="0.35">
      <c r="A1439" t="s">
        <v>6340</v>
      </c>
      <c r="B1439" t="str">
        <f>"9780292743595"</f>
        <v>9780292743595</v>
      </c>
      <c r="C1439" t="s">
        <v>6341</v>
      </c>
      <c r="D1439" t="s">
        <v>6342</v>
      </c>
      <c r="E1439" t="s">
        <v>5849</v>
      </c>
      <c r="F1439" t="s">
        <v>6343</v>
      </c>
      <c r="G1439" t="s">
        <v>28</v>
      </c>
      <c r="H1439" t="s">
        <v>6344</v>
      </c>
    </row>
    <row r="1440" spans="1:8" x14ac:dyDescent="0.35">
      <c r="A1440" t="s">
        <v>6345</v>
      </c>
      <c r="B1440" t="str">
        <f>"9780292737945"</f>
        <v>9780292737945</v>
      </c>
      <c r="C1440" t="s">
        <v>6346</v>
      </c>
      <c r="D1440" t="s">
        <v>6347</v>
      </c>
      <c r="E1440" t="s">
        <v>5849</v>
      </c>
      <c r="F1440" t="s">
        <v>6124</v>
      </c>
      <c r="G1440" t="s">
        <v>44</v>
      </c>
      <c r="H1440" t="s">
        <v>6348</v>
      </c>
    </row>
    <row r="1441" spans="1:8" x14ac:dyDescent="0.35">
      <c r="A1441" t="s">
        <v>6349</v>
      </c>
      <c r="B1441" t="str">
        <f>"9780292738782"</f>
        <v>9780292738782</v>
      </c>
      <c r="C1441" t="s">
        <v>6350</v>
      </c>
      <c r="D1441" t="s">
        <v>6351</v>
      </c>
      <c r="E1441" t="s">
        <v>5849</v>
      </c>
      <c r="G1441" t="s">
        <v>60</v>
      </c>
      <c r="H1441" t="s">
        <v>6352</v>
      </c>
    </row>
    <row r="1442" spans="1:8" x14ac:dyDescent="0.35">
      <c r="A1442" t="s">
        <v>6353</v>
      </c>
      <c r="B1442" t="str">
        <f>"9780292739291"</f>
        <v>9780292739291</v>
      </c>
      <c r="C1442" t="s">
        <v>6354</v>
      </c>
      <c r="D1442" t="s">
        <v>6355</v>
      </c>
      <c r="E1442" t="s">
        <v>5849</v>
      </c>
      <c r="F1442" t="s">
        <v>6356</v>
      </c>
      <c r="G1442" t="s">
        <v>376</v>
      </c>
      <c r="H1442" t="s">
        <v>6357</v>
      </c>
    </row>
    <row r="1443" spans="1:8" x14ac:dyDescent="0.35">
      <c r="A1443" t="s">
        <v>6358</v>
      </c>
      <c r="B1443" t="str">
        <f>"9780292742406"</f>
        <v>9780292742406</v>
      </c>
      <c r="C1443" t="s">
        <v>6359</v>
      </c>
      <c r="D1443" t="s">
        <v>6360</v>
      </c>
      <c r="E1443" t="s">
        <v>5849</v>
      </c>
      <c r="F1443" t="s">
        <v>6356</v>
      </c>
      <c r="G1443" t="s">
        <v>55</v>
      </c>
      <c r="H1443" t="s">
        <v>6361</v>
      </c>
    </row>
    <row r="1444" spans="1:8" x14ac:dyDescent="0.35">
      <c r="A1444" t="s">
        <v>6362</v>
      </c>
      <c r="B1444" t="str">
        <f>"9780292739314"</f>
        <v>9780292739314</v>
      </c>
      <c r="C1444" t="s">
        <v>6363</v>
      </c>
      <c r="D1444" t="s">
        <v>6364</v>
      </c>
      <c r="E1444" t="s">
        <v>5849</v>
      </c>
      <c r="F1444" t="s">
        <v>6119</v>
      </c>
      <c r="G1444" t="s">
        <v>96</v>
      </c>
      <c r="H1444" t="s">
        <v>6365</v>
      </c>
    </row>
    <row r="1445" spans="1:8" x14ac:dyDescent="0.35">
      <c r="A1445" t="s">
        <v>6366</v>
      </c>
      <c r="B1445" t="str">
        <f>"9780292743816"</f>
        <v>9780292743816</v>
      </c>
      <c r="C1445" t="s">
        <v>6367</v>
      </c>
      <c r="D1445" t="s">
        <v>6368</v>
      </c>
      <c r="E1445" t="s">
        <v>5849</v>
      </c>
      <c r="F1445" t="s">
        <v>6119</v>
      </c>
      <c r="G1445" t="s">
        <v>376</v>
      </c>
      <c r="H1445" t="s">
        <v>6369</v>
      </c>
    </row>
    <row r="1446" spans="1:8" x14ac:dyDescent="0.35">
      <c r="A1446" t="s">
        <v>6370</v>
      </c>
      <c r="B1446" t="str">
        <f>"9780292743649"</f>
        <v>9780292743649</v>
      </c>
      <c r="C1446" t="s">
        <v>6371</v>
      </c>
      <c r="D1446" t="s">
        <v>6372</v>
      </c>
      <c r="E1446" t="s">
        <v>5849</v>
      </c>
      <c r="G1446" t="s">
        <v>146</v>
      </c>
      <c r="H1446" t="s">
        <v>6373</v>
      </c>
    </row>
    <row r="1447" spans="1:8" x14ac:dyDescent="0.35">
      <c r="A1447" t="s">
        <v>6374</v>
      </c>
      <c r="B1447" t="str">
        <f>"9780292744165"</f>
        <v>9780292744165</v>
      </c>
      <c r="C1447" t="s">
        <v>6375</v>
      </c>
      <c r="D1447" t="s">
        <v>6376</v>
      </c>
      <c r="E1447" t="s">
        <v>5849</v>
      </c>
      <c r="G1447" t="s">
        <v>139</v>
      </c>
      <c r="H1447" t="s">
        <v>6377</v>
      </c>
    </row>
    <row r="1448" spans="1:8" x14ac:dyDescent="0.35">
      <c r="A1448" t="s">
        <v>6378</v>
      </c>
      <c r="B1448" t="str">
        <f>"9780292744073"</f>
        <v>9780292744073</v>
      </c>
      <c r="C1448" t="s">
        <v>6379</v>
      </c>
      <c r="D1448" t="s">
        <v>6380</v>
      </c>
      <c r="E1448" t="s">
        <v>5849</v>
      </c>
      <c r="F1448" t="s">
        <v>6356</v>
      </c>
      <c r="G1448" t="s">
        <v>44</v>
      </c>
      <c r="H1448" t="s">
        <v>6381</v>
      </c>
    </row>
    <row r="1449" spans="1:8" x14ac:dyDescent="0.35">
      <c r="A1449" t="s">
        <v>6382</v>
      </c>
      <c r="B1449" t="str">
        <f>"9780292738911"</f>
        <v>9780292738911</v>
      </c>
      <c r="C1449" t="s">
        <v>6383</v>
      </c>
      <c r="D1449" t="s">
        <v>6384</v>
      </c>
      <c r="E1449" t="s">
        <v>5849</v>
      </c>
      <c r="G1449" t="s">
        <v>39</v>
      </c>
      <c r="H1449" t="s">
        <v>6385</v>
      </c>
    </row>
    <row r="1450" spans="1:8" x14ac:dyDescent="0.35">
      <c r="A1450" t="s">
        <v>6386</v>
      </c>
      <c r="B1450" t="str">
        <f>"9780292744936"</f>
        <v>9780292744936</v>
      </c>
      <c r="C1450" t="s">
        <v>6387</v>
      </c>
      <c r="D1450" t="s">
        <v>6388</v>
      </c>
      <c r="E1450" t="s">
        <v>5849</v>
      </c>
      <c r="G1450" t="s">
        <v>44</v>
      </c>
      <c r="H1450" t="s">
        <v>6389</v>
      </c>
    </row>
    <row r="1451" spans="1:8" x14ac:dyDescent="0.35">
      <c r="A1451" t="s">
        <v>6390</v>
      </c>
      <c r="B1451" t="str">
        <f>"9780292745186"</f>
        <v>9780292745186</v>
      </c>
      <c r="C1451" t="s">
        <v>6391</v>
      </c>
      <c r="D1451" t="s">
        <v>6392</v>
      </c>
      <c r="E1451" t="s">
        <v>5849</v>
      </c>
      <c r="F1451" t="s">
        <v>6119</v>
      </c>
      <c r="G1451" t="s">
        <v>39</v>
      </c>
      <c r="H1451" t="s">
        <v>6393</v>
      </c>
    </row>
    <row r="1452" spans="1:8" x14ac:dyDescent="0.35">
      <c r="A1452" t="s">
        <v>6394</v>
      </c>
      <c r="B1452" t="str">
        <f>"9780292744288"</f>
        <v>9780292744288</v>
      </c>
      <c r="C1452" t="s">
        <v>6395</v>
      </c>
      <c r="D1452" t="s">
        <v>6396</v>
      </c>
      <c r="E1452" t="s">
        <v>5849</v>
      </c>
      <c r="G1452" t="s">
        <v>6397</v>
      </c>
      <c r="H1452" t="s">
        <v>6398</v>
      </c>
    </row>
    <row r="1453" spans="1:8" x14ac:dyDescent="0.35">
      <c r="A1453" t="s">
        <v>6399</v>
      </c>
      <c r="B1453" t="str">
        <f>"9780292739048"</f>
        <v>9780292739048</v>
      </c>
      <c r="C1453" t="s">
        <v>6400</v>
      </c>
      <c r="D1453" t="s">
        <v>6401</v>
      </c>
      <c r="E1453" t="s">
        <v>5849</v>
      </c>
      <c r="F1453" t="s">
        <v>6402</v>
      </c>
      <c r="G1453" t="s">
        <v>44</v>
      </c>
      <c r="H1453" t="s">
        <v>6403</v>
      </c>
    </row>
    <row r="1454" spans="1:8" x14ac:dyDescent="0.35">
      <c r="A1454" t="s">
        <v>6404</v>
      </c>
      <c r="B1454" t="str">
        <f>"9780292753754"</f>
        <v>9780292753754</v>
      </c>
      <c r="C1454" t="s">
        <v>6405</v>
      </c>
      <c r="D1454" t="s">
        <v>6406</v>
      </c>
      <c r="E1454" t="s">
        <v>5849</v>
      </c>
      <c r="G1454" t="s">
        <v>55</v>
      </c>
      <c r="H1454" t="s">
        <v>6407</v>
      </c>
    </row>
    <row r="1455" spans="1:8" x14ac:dyDescent="0.35">
      <c r="A1455" t="s">
        <v>6408</v>
      </c>
      <c r="B1455" t="str">
        <f>"9780292748736"</f>
        <v>9780292748736</v>
      </c>
      <c r="C1455" t="s">
        <v>6409</v>
      </c>
      <c r="D1455" t="s">
        <v>6410</v>
      </c>
      <c r="E1455" t="s">
        <v>5849</v>
      </c>
      <c r="F1455" t="s">
        <v>6411</v>
      </c>
      <c r="G1455" t="s">
        <v>6412</v>
      </c>
      <c r="H1455" t="s">
        <v>6413</v>
      </c>
    </row>
    <row r="1456" spans="1:8" x14ac:dyDescent="0.35">
      <c r="A1456" t="s">
        <v>6414</v>
      </c>
      <c r="B1456" t="str">
        <f>"9780292745322"</f>
        <v>9780292745322</v>
      </c>
      <c r="C1456" t="s">
        <v>6415</v>
      </c>
      <c r="D1456" t="s">
        <v>6416</v>
      </c>
      <c r="E1456" t="s">
        <v>5849</v>
      </c>
      <c r="G1456" t="s">
        <v>726</v>
      </c>
      <c r="H1456" t="s">
        <v>6417</v>
      </c>
    </row>
    <row r="1457" spans="1:8" x14ac:dyDescent="0.35">
      <c r="A1457" t="s">
        <v>6418</v>
      </c>
      <c r="B1457" t="str">
        <f>"9780292744660"</f>
        <v>9780292744660</v>
      </c>
      <c r="C1457" t="s">
        <v>6419</v>
      </c>
      <c r="D1457" t="s">
        <v>5904</v>
      </c>
      <c r="E1457" t="s">
        <v>5849</v>
      </c>
      <c r="F1457" t="s">
        <v>6420</v>
      </c>
      <c r="G1457" t="s">
        <v>2934</v>
      </c>
      <c r="H1457" t="s">
        <v>6421</v>
      </c>
    </row>
    <row r="1458" spans="1:8" x14ac:dyDescent="0.35">
      <c r="A1458" t="s">
        <v>6422</v>
      </c>
      <c r="B1458" t="str">
        <f>"9780292745599"</f>
        <v>9780292745599</v>
      </c>
      <c r="C1458" t="s">
        <v>6423</v>
      </c>
      <c r="D1458" t="s">
        <v>6424</v>
      </c>
      <c r="E1458" t="s">
        <v>5849</v>
      </c>
      <c r="G1458" t="s">
        <v>39</v>
      </c>
      <c r="H1458" t="s">
        <v>6425</v>
      </c>
    </row>
    <row r="1459" spans="1:8" x14ac:dyDescent="0.35">
      <c r="A1459" t="s">
        <v>6426</v>
      </c>
      <c r="B1459" t="str">
        <f>"9780292743830"</f>
        <v>9780292743830</v>
      </c>
      <c r="C1459" t="s">
        <v>6427</v>
      </c>
      <c r="D1459" t="s">
        <v>6428</v>
      </c>
      <c r="E1459" t="s">
        <v>5849</v>
      </c>
      <c r="F1459" t="s">
        <v>6429</v>
      </c>
      <c r="G1459" t="s">
        <v>39</v>
      </c>
      <c r="H1459" t="s">
        <v>6430</v>
      </c>
    </row>
    <row r="1460" spans="1:8" x14ac:dyDescent="0.35">
      <c r="A1460" t="s">
        <v>6431</v>
      </c>
      <c r="B1460" t="str">
        <f>"9780292748668"</f>
        <v>9780292748668</v>
      </c>
      <c r="C1460" t="s">
        <v>6432</v>
      </c>
      <c r="D1460" t="s">
        <v>6433</v>
      </c>
      <c r="E1460" t="s">
        <v>5849</v>
      </c>
      <c r="F1460" t="s">
        <v>6356</v>
      </c>
      <c r="G1460" t="s">
        <v>44</v>
      </c>
      <c r="H1460" t="s">
        <v>6434</v>
      </c>
    </row>
    <row r="1461" spans="1:8" x14ac:dyDescent="0.35">
      <c r="A1461" t="s">
        <v>6435</v>
      </c>
      <c r="B1461" t="str">
        <f>"9780292748699"</f>
        <v>9780292748699</v>
      </c>
      <c r="C1461" t="s">
        <v>6436</v>
      </c>
      <c r="D1461" t="s">
        <v>6437</v>
      </c>
      <c r="E1461" t="s">
        <v>5849</v>
      </c>
      <c r="F1461" t="s">
        <v>6429</v>
      </c>
      <c r="G1461" t="s">
        <v>3080</v>
      </c>
      <c r="H1461" t="s">
        <v>6438</v>
      </c>
    </row>
    <row r="1462" spans="1:8" x14ac:dyDescent="0.35">
      <c r="A1462" t="s">
        <v>6439</v>
      </c>
      <c r="B1462" t="str">
        <f>"9780292748200"</f>
        <v>9780292748200</v>
      </c>
      <c r="C1462" t="s">
        <v>6440</v>
      </c>
      <c r="D1462" t="s">
        <v>6441</v>
      </c>
      <c r="E1462" t="s">
        <v>5849</v>
      </c>
      <c r="G1462" t="s">
        <v>55</v>
      </c>
      <c r="H1462" t="s">
        <v>6442</v>
      </c>
    </row>
    <row r="1463" spans="1:8" x14ac:dyDescent="0.35">
      <c r="A1463" t="s">
        <v>6443</v>
      </c>
      <c r="B1463" t="str">
        <f>"9780292748637"</f>
        <v>9780292748637</v>
      </c>
      <c r="C1463" t="s">
        <v>6444</v>
      </c>
      <c r="D1463" t="s">
        <v>6445</v>
      </c>
      <c r="E1463" t="s">
        <v>5849</v>
      </c>
      <c r="F1463" t="s">
        <v>6411</v>
      </c>
      <c r="G1463" t="s">
        <v>6446</v>
      </c>
      <c r="H1463" t="s">
        <v>6447</v>
      </c>
    </row>
    <row r="1464" spans="1:8" x14ac:dyDescent="0.35">
      <c r="A1464" t="s">
        <v>6448</v>
      </c>
      <c r="B1464" t="str">
        <f>"9780292753105"</f>
        <v>9780292753105</v>
      </c>
      <c r="C1464" t="s">
        <v>6449</v>
      </c>
      <c r="D1464" t="s">
        <v>6450</v>
      </c>
      <c r="E1464" t="s">
        <v>5849</v>
      </c>
      <c r="F1464" t="s">
        <v>6119</v>
      </c>
      <c r="G1464" t="s">
        <v>4348</v>
      </c>
      <c r="H1464" t="s">
        <v>6451</v>
      </c>
    </row>
    <row r="1465" spans="1:8" x14ac:dyDescent="0.35">
      <c r="A1465" t="s">
        <v>6452</v>
      </c>
      <c r="B1465" t="str">
        <f>"9780292748545"</f>
        <v>9780292748545</v>
      </c>
      <c r="C1465" t="s">
        <v>6453</v>
      </c>
      <c r="D1465" t="s">
        <v>6454</v>
      </c>
      <c r="E1465" t="s">
        <v>5849</v>
      </c>
      <c r="F1465" t="s">
        <v>6429</v>
      </c>
      <c r="G1465" t="s">
        <v>186</v>
      </c>
      <c r="H1465" t="s">
        <v>6455</v>
      </c>
    </row>
    <row r="1466" spans="1:8" x14ac:dyDescent="0.35">
      <c r="A1466" t="s">
        <v>6456</v>
      </c>
      <c r="B1466" t="str">
        <f>"9780292753785"</f>
        <v>9780292753785</v>
      </c>
      <c r="C1466" t="s">
        <v>6457</v>
      </c>
      <c r="D1466" t="s">
        <v>6458</v>
      </c>
      <c r="E1466" t="s">
        <v>5849</v>
      </c>
      <c r="G1466" t="s">
        <v>268</v>
      </c>
      <c r="H1466" t="s">
        <v>6459</v>
      </c>
    </row>
    <row r="1467" spans="1:8" x14ac:dyDescent="0.35">
      <c r="A1467" t="s">
        <v>6460</v>
      </c>
      <c r="B1467" t="str">
        <f>"9780292753884"</f>
        <v>9780292753884</v>
      </c>
      <c r="C1467" t="s">
        <v>6461</v>
      </c>
      <c r="D1467" t="s">
        <v>6462</v>
      </c>
      <c r="E1467" t="s">
        <v>5849</v>
      </c>
      <c r="G1467" t="s">
        <v>55</v>
      </c>
      <c r="H1467" t="s">
        <v>6463</v>
      </c>
    </row>
    <row r="1468" spans="1:8" x14ac:dyDescent="0.35">
      <c r="A1468" t="s">
        <v>6464</v>
      </c>
      <c r="B1468" t="str">
        <f>"9780292745360"</f>
        <v>9780292745360</v>
      </c>
      <c r="C1468" t="s">
        <v>6465</v>
      </c>
      <c r="D1468" t="s">
        <v>6466</v>
      </c>
      <c r="E1468" t="s">
        <v>5849</v>
      </c>
      <c r="F1468" t="s">
        <v>6119</v>
      </c>
      <c r="G1468" t="s">
        <v>139</v>
      </c>
      <c r="H1468" t="s">
        <v>6467</v>
      </c>
    </row>
    <row r="1469" spans="1:8" x14ac:dyDescent="0.35">
      <c r="A1469" t="s">
        <v>6468</v>
      </c>
      <c r="B1469" t="str">
        <f>"9780292754065"</f>
        <v>9780292754065</v>
      </c>
      <c r="C1469" t="s">
        <v>6469</v>
      </c>
      <c r="D1469" t="s">
        <v>6470</v>
      </c>
      <c r="E1469" t="s">
        <v>5849</v>
      </c>
      <c r="G1469" t="s">
        <v>60</v>
      </c>
      <c r="H1469" t="s">
        <v>6471</v>
      </c>
    </row>
    <row r="1470" spans="1:8" x14ac:dyDescent="0.35">
      <c r="A1470" t="s">
        <v>6472</v>
      </c>
      <c r="B1470" t="str">
        <f>"9780292753815"</f>
        <v>9780292753815</v>
      </c>
      <c r="C1470" t="s">
        <v>6473</v>
      </c>
      <c r="D1470" t="s">
        <v>6474</v>
      </c>
      <c r="E1470" t="s">
        <v>5849</v>
      </c>
      <c r="G1470" t="s">
        <v>2494</v>
      </c>
      <c r="H1470" t="s">
        <v>6475</v>
      </c>
    </row>
    <row r="1471" spans="1:8" x14ac:dyDescent="0.35">
      <c r="A1471" t="s">
        <v>6476</v>
      </c>
      <c r="B1471" t="str">
        <f>"9780292754027"</f>
        <v>9780292754027</v>
      </c>
      <c r="C1471" t="s">
        <v>6477</v>
      </c>
      <c r="D1471" t="s">
        <v>6478</v>
      </c>
      <c r="E1471" t="s">
        <v>5849</v>
      </c>
      <c r="G1471" t="s">
        <v>83</v>
      </c>
      <c r="H1471" t="s">
        <v>6479</v>
      </c>
    </row>
    <row r="1472" spans="1:8" x14ac:dyDescent="0.35">
      <c r="A1472" t="s">
        <v>6480</v>
      </c>
      <c r="B1472" t="str">
        <f>"9780292758629"</f>
        <v>9780292758629</v>
      </c>
      <c r="C1472" t="s">
        <v>6481</v>
      </c>
      <c r="D1472" t="s">
        <v>6482</v>
      </c>
      <c r="E1472" t="s">
        <v>5849</v>
      </c>
      <c r="G1472" t="s">
        <v>44</v>
      </c>
      <c r="H1472" t="s">
        <v>6483</v>
      </c>
    </row>
    <row r="1473" spans="1:8" x14ac:dyDescent="0.35">
      <c r="A1473" t="s">
        <v>6484</v>
      </c>
      <c r="B1473" t="str">
        <f>"9780292754614"</f>
        <v>9780292754614</v>
      </c>
      <c r="C1473" t="s">
        <v>6485</v>
      </c>
      <c r="D1473" t="s">
        <v>6486</v>
      </c>
      <c r="E1473" t="s">
        <v>5849</v>
      </c>
      <c r="G1473" t="s">
        <v>28</v>
      </c>
      <c r="H1473" t="s">
        <v>6487</v>
      </c>
    </row>
    <row r="1474" spans="1:8" x14ac:dyDescent="0.35">
      <c r="A1474" t="s">
        <v>6488</v>
      </c>
      <c r="B1474" t="str">
        <f>"9781477301067"</f>
        <v>9781477301067</v>
      </c>
      <c r="C1474" t="s">
        <v>6489</v>
      </c>
      <c r="D1474" t="s">
        <v>6490</v>
      </c>
      <c r="E1474" t="s">
        <v>5849</v>
      </c>
      <c r="F1474" t="s">
        <v>6491</v>
      </c>
      <c r="G1474" t="s">
        <v>44</v>
      </c>
      <c r="H1474" t="s">
        <v>6492</v>
      </c>
    </row>
    <row r="1475" spans="1:8" x14ac:dyDescent="0.35">
      <c r="A1475" t="s">
        <v>6493</v>
      </c>
      <c r="B1475" t="str">
        <f>"9781477300497"</f>
        <v>9781477300497</v>
      </c>
      <c r="C1475" t="s">
        <v>6494</v>
      </c>
      <c r="D1475" t="s">
        <v>6495</v>
      </c>
      <c r="E1475" t="s">
        <v>5849</v>
      </c>
      <c r="F1475" t="s">
        <v>6496</v>
      </c>
      <c r="G1475" t="s">
        <v>139</v>
      </c>
      <c r="H1475" t="s">
        <v>6497</v>
      </c>
    </row>
    <row r="1476" spans="1:8" x14ac:dyDescent="0.35">
      <c r="A1476" t="s">
        <v>6498</v>
      </c>
      <c r="B1476" t="str">
        <f>"9780292766570"</f>
        <v>9780292766570</v>
      </c>
      <c r="C1476" t="s">
        <v>6499</v>
      </c>
      <c r="D1476" t="s">
        <v>6500</v>
      </c>
      <c r="E1476" t="s">
        <v>5849</v>
      </c>
      <c r="F1476" t="s">
        <v>6119</v>
      </c>
      <c r="G1476" t="s">
        <v>44</v>
      </c>
      <c r="H1476" t="s">
        <v>6501</v>
      </c>
    </row>
    <row r="1477" spans="1:8" x14ac:dyDescent="0.35">
      <c r="A1477" t="s">
        <v>6502</v>
      </c>
      <c r="B1477" t="str">
        <f>"9781477302279"</f>
        <v>9781477302279</v>
      </c>
      <c r="C1477" t="s">
        <v>6503</v>
      </c>
      <c r="D1477" t="s">
        <v>6504</v>
      </c>
      <c r="E1477" t="s">
        <v>5849</v>
      </c>
      <c r="F1477" t="s">
        <v>6496</v>
      </c>
      <c r="G1477" t="s">
        <v>139</v>
      </c>
      <c r="H1477" t="s">
        <v>6505</v>
      </c>
    </row>
    <row r="1478" spans="1:8" x14ac:dyDescent="0.35">
      <c r="A1478" t="s">
        <v>6506</v>
      </c>
      <c r="B1478" t="str">
        <f>"9781477307267"</f>
        <v>9781477307267</v>
      </c>
      <c r="C1478" t="s">
        <v>6507</v>
      </c>
      <c r="D1478" t="s">
        <v>6508</v>
      </c>
      <c r="E1478" t="s">
        <v>5849</v>
      </c>
      <c r="F1478" t="s">
        <v>6420</v>
      </c>
      <c r="G1478" t="s">
        <v>112</v>
      </c>
      <c r="H1478" t="s">
        <v>6509</v>
      </c>
    </row>
    <row r="1479" spans="1:8" x14ac:dyDescent="0.35">
      <c r="A1479" t="s">
        <v>6510</v>
      </c>
      <c r="B1479" t="str">
        <f>"9781607819783"</f>
        <v>9781607819783</v>
      </c>
      <c r="C1479" t="s">
        <v>6511</v>
      </c>
      <c r="D1479" t="s">
        <v>6512</v>
      </c>
      <c r="E1479" t="s">
        <v>6513</v>
      </c>
      <c r="G1479" t="s">
        <v>146</v>
      </c>
      <c r="H1479" t="s">
        <v>6514</v>
      </c>
    </row>
    <row r="1480" spans="1:8" x14ac:dyDescent="0.35">
      <c r="A1480" t="s">
        <v>6515</v>
      </c>
      <c r="B1480" t="str">
        <f>"9781607812197"</f>
        <v>9781607812197</v>
      </c>
      <c r="C1480" t="s">
        <v>6516</v>
      </c>
      <c r="D1480" t="s">
        <v>6517</v>
      </c>
      <c r="E1480" t="s">
        <v>6513</v>
      </c>
      <c r="G1480" t="s">
        <v>55</v>
      </c>
      <c r="H1480" t="s">
        <v>6518</v>
      </c>
    </row>
    <row r="1481" spans="1:8" x14ac:dyDescent="0.35">
      <c r="A1481" t="s">
        <v>6519</v>
      </c>
      <c r="B1481" t="str">
        <f>"9781607813590"</f>
        <v>9781607813590</v>
      </c>
      <c r="C1481" t="s">
        <v>6520</v>
      </c>
      <c r="D1481" t="s">
        <v>6521</v>
      </c>
      <c r="E1481" t="s">
        <v>6513</v>
      </c>
      <c r="G1481" t="s">
        <v>44</v>
      </c>
      <c r="H1481" t="s">
        <v>6522</v>
      </c>
    </row>
    <row r="1482" spans="1:8" x14ac:dyDescent="0.35">
      <c r="A1482" t="s">
        <v>6523</v>
      </c>
      <c r="B1482" t="str">
        <f>"9780813930572"</f>
        <v>9780813930572</v>
      </c>
      <c r="C1482" t="s">
        <v>6524</v>
      </c>
      <c r="D1482" t="s">
        <v>6525</v>
      </c>
      <c r="E1482" t="s">
        <v>6526</v>
      </c>
      <c r="F1482" t="s">
        <v>6527</v>
      </c>
      <c r="G1482" t="s">
        <v>60</v>
      </c>
      <c r="H1482" t="s">
        <v>6528</v>
      </c>
    </row>
    <row r="1483" spans="1:8" x14ac:dyDescent="0.35">
      <c r="A1483" t="s">
        <v>6529</v>
      </c>
      <c r="B1483" t="str">
        <f>"9780813929996"</f>
        <v>9780813929996</v>
      </c>
      <c r="C1483" t="s">
        <v>6530</v>
      </c>
      <c r="D1483" t="s">
        <v>6531</v>
      </c>
      <c r="E1483" t="s">
        <v>6526</v>
      </c>
      <c r="F1483" t="s">
        <v>6527</v>
      </c>
      <c r="G1483" t="s">
        <v>60</v>
      </c>
      <c r="H1483" t="s">
        <v>6532</v>
      </c>
    </row>
    <row r="1484" spans="1:8" x14ac:dyDescent="0.35">
      <c r="A1484" t="s">
        <v>6533</v>
      </c>
      <c r="B1484" t="str">
        <f>"9780813932033"</f>
        <v>9780813932033</v>
      </c>
      <c r="C1484" t="s">
        <v>6534</v>
      </c>
      <c r="D1484" t="s">
        <v>6535</v>
      </c>
      <c r="E1484" t="s">
        <v>6526</v>
      </c>
      <c r="F1484" t="s">
        <v>6527</v>
      </c>
      <c r="G1484" t="s">
        <v>60</v>
      </c>
      <c r="H1484" t="s">
        <v>6536</v>
      </c>
    </row>
    <row r="1485" spans="1:8" x14ac:dyDescent="0.35">
      <c r="A1485" t="s">
        <v>6537</v>
      </c>
      <c r="B1485" t="str">
        <f>"9780813932194"</f>
        <v>9780813932194</v>
      </c>
      <c r="C1485" t="s">
        <v>6538</v>
      </c>
      <c r="D1485" t="s">
        <v>6539</v>
      </c>
      <c r="E1485" t="s">
        <v>6526</v>
      </c>
      <c r="F1485" t="s">
        <v>6527</v>
      </c>
      <c r="G1485" t="s">
        <v>139</v>
      </c>
      <c r="H1485" t="s">
        <v>6540</v>
      </c>
    </row>
    <row r="1486" spans="1:8" x14ac:dyDescent="0.35">
      <c r="A1486" t="s">
        <v>6541</v>
      </c>
      <c r="B1486" t="str">
        <f>"9780813932507"</f>
        <v>9780813932507</v>
      </c>
      <c r="C1486" t="s">
        <v>6542</v>
      </c>
      <c r="D1486" t="s">
        <v>6543</v>
      </c>
      <c r="E1486" t="s">
        <v>6526</v>
      </c>
      <c r="F1486" t="s">
        <v>6544</v>
      </c>
      <c r="G1486" t="s">
        <v>186</v>
      </c>
      <c r="H1486" t="s">
        <v>6545</v>
      </c>
    </row>
    <row r="1487" spans="1:8" x14ac:dyDescent="0.35">
      <c r="A1487" t="s">
        <v>6546</v>
      </c>
      <c r="B1487" t="str">
        <f>"9780813933337"</f>
        <v>9780813933337</v>
      </c>
      <c r="C1487" t="s">
        <v>6547</v>
      </c>
      <c r="D1487" t="s">
        <v>6548</v>
      </c>
      <c r="E1487" t="s">
        <v>6526</v>
      </c>
      <c r="F1487" t="s">
        <v>6527</v>
      </c>
      <c r="G1487" t="s">
        <v>60</v>
      </c>
      <c r="H1487" t="s">
        <v>6549</v>
      </c>
    </row>
    <row r="1488" spans="1:8" x14ac:dyDescent="0.35">
      <c r="A1488" t="s">
        <v>6550</v>
      </c>
      <c r="B1488" t="str">
        <f>"9780813933160"</f>
        <v>9780813933160</v>
      </c>
      <c r="C1488" t="s">
        <v>6551</v>
      </c>
      <c r="D1488" t="s">
        <v>6552</v>
      </c>
      <c r="E1488" t="s">
        <v>6526</v>
      </c>
      <c r="G1488" t="s">
        <v>186</v>
      </c>
      <c r="H1488" t="s">
        <v>6553</v>
      </c>
    </row>
    <row r="1489" spans="1:8" x14ac:dyDescent="0.35">
      <c r="A1489" t="s">
        <v>6554</v>
      </c>
      <c r="B1489" t="str">
        <f>"9780813933146"</f>
        <v>9780813933146</v>
      </c>
      <c r="C1489" t="s">
        <v>6555</v>
      </c>
      <c r="D1489" t="s">
        <v>6556</v>
      </c>
      <c r="E1489" t="s">
        <v>6526</v>
      </c>
      <c r="F1489" t="s">
        <v>6527</v>
      </c>
      <c r="G1489" t="s">
        <v>44</v>
      </c>
      <c r="H1489" t="s">
        <v>6557</v>
      </c>
    </row>
    <row r="1490" spans="1:8" x14ac:dyDescent="0.35">
      <c r="A1490" t="s">
        <v>6558</v>
      </c>
      <c r="B1490" t="str">
        <f>"9780295800165"</f>
        <v>9780295800165</v>
      </c>
      <c r="C1490" t="s">
        <v>6559</v>
      </c>
      <c r="D1490" t="s">
        <v>6560</v>
      </c>
      <c r="E1490" t="s">
        <v>6561</v>
      </c>
      <c r="F1490" t="s">
        <v>6562</v>
      </c>
      <c r="G1490" t="s">
        <v>60</v>
      </c>
      <c r="H1490" t="s">
        <v>6563</v>
      </c>
    </row>
    <row r="1491" spans="1:8" x14ac:dyDescent="0.35">
      <c r="A1491" t="s">
        <v>6564</v>
      </c>
      <c r="B1491" t="str">
        <f>"9780295804170"</f>
        <v>9780295804170</v>
      </c>
      <c r="C1491" t="s">
        <v>6565</v>
      </c>
      <c r="D1491" t="s">
        <v>6566</v>
      </c>
      <c r="E1491" t="s">
        <v>6561</v>
      </c>
      <c r="F1491" t="s">
        <v>6567</v>
      </c>
      <c r="G1491" t="s">
        <v>6568</v>
      </c>
      <c r="H1491" t="s">
        <v>6569</v>
      </c>
    </row>
    <row r="1492" spans="1:8" x14ac:dyDescent="0.35">
      <c r="A1492" t="s">
        <v>6570</v>
      </c>
      <c r="B1492" t="str">
        <f>"9780295806075"</f>
        <v>9780295806075</v>
      </c>
      <c r="C1492" t="s">
        <v>6571</v>
      </c>
      <c r="D1492" t="s">
        <v>6572</v>
      </c>
      <c r="E1492" t="s">
        <v>6561</v>
      </c>
      <c r="F1492" t="s">
        <v>6573</v>
      </c>
      <c r="G1492" t="s">
        <v>305</v>
      </c>
      <c r="H1492" t="s">
        <v>6574</v>
      </c>
    </row>
    <row r="1493" spans="1:8" x14ac:dyDescent="0.35">
      <c r="A1493" t="s">
        <v>6575</v>
      </c>
      <c r="B1493" t="str">
        <f>"9780299219031"</f>
        <v>9780299219031</v>
      </c>
      <c r="C1493" t="s">
        <v>6576</v>
      </c>
      <c r="D1493" t="s">
        <v>6577</v>
      </c>
      <c r="E1493" t="s">
        <v>6578</v>
      </c>
      <c r="F1493" t="s">
        <v>6579</v>
      </c>
      <c r="G1493" t="s">
        <v>60</v>
      </c>
      <c r="H1493" t="s">
        <v>6580</v>
      </c>
    </row>
    <row r="1494" spans="1:8" x14ac:dyDescent="0.35">
      <c r="A1494" t="s">
        <v>6581</v>
      </c>
      <c r="B1494" t="str">
        <f>"9780299203733"</f>
        <v>9780299203733</v>
      </c>
      <c r="C1494" t="s">
        <v>6582</v>
      </c>
      <c r="D1494" t="s">
        <v>6583</v>
      </c>
      <c r="E1494" t="s">
        <v>6578</v>
      </c>
      <c r="F1494" t="s">
        <v>6584</v>
      </c>
      <c r="G1494" t="s">
        <v>4348</v>
      </c>
      <c r="H1494" t="s">
        <v>6585</v>
      </c>
    </row>
    <row r="1495" spans="1:8" x14ac:dyDescent="0.35">
      <c r="A1495" t="s">
        <v>6586</v>
      </c>
      <c r="B1495" t="str">
        <f>"9780299235239"</f>
        <v>9780299235239</v>
      </c>
      <c r="C1495" t="s">
        <v>6587</v>
      </c>
      <c r="D1495" t="s">
        <v>6588</v>
      </c>
      <c r="E1495" t="s">
        <v>6578</v>
      </c>
      <c r="F1495" t="s">
        <v>6579</v>
      </c>
      <c r="G1495" t="s">
        <v>44</v>
      </c>
      <c r="H1495" t="s">
        <v>6589</v>
      </c>
    </row>
    <row r="1496" spans="1:8" x14ac:dyDescent="0.35">
      <c r="A1496" t="s">
        <v>6590</v>
      </c>
      <c r="B1496" t="str">
        <f>"9780299236236"</f>
        <v>9780299236236</v>
      </c>
      <c r="C1496" t="s">
        <v>6591</v>
      </c>
      <c r="D1496" t="s">
        <v>6592</v>
      </c>
      <c r="E1496" t="s">
        <v>6578</v>
      </c>
      <c r="F1496" t="s">
        <v>6579</v>
      </c>
      <c r="G1496" t="s">
        <v>60</v>
      </c>
      <c r="H1496" t="s">
        <v>6593</v>
      </c>
    </row>
    <row r="1497" spans="1:8" x14ac:dyDescent="0.35">
      <c r="A1497" t="s">
        <v>6594</v>
      </c>
      <c r="B1497" t="str">
        <f>"9780299216030"</f>
        <v>9780299216030</v>
      </c>
      <c r="C1497" t="s">
        <v>6595</v>
      </c>
      <c r="D1497" t="s">
        <v>6596</v>
      </c>
      <c r="E1497" t="s">
        <v>6578</v>
      </c>
      <c r="F1497" t="s">
        <v>6584</v>
      </c>
      <c r="G1497" t="s">
        <v>60</v>
      </c>
      <c r="H1497" t="s">
        <v>6597</v>
      </c>
    </row>
    <row r="1498" spans="1:8" x14ac:dyDescent="0.35">
      <c r="A1498" t="s">
        <v>6598</v>
      </c>
      <c r="B1498" t="str">
        <f>"9780299224530"</f>
        <v>9780299224530</v>
      </c>
      <c r="C1498" t="s">
        <v>6599</v>
      </c>
      <c r="D1498" t="s">
        <v>6600</v>
      </c>
      <c r="E1498" t="s">
        <v>6578</v>
      </c>
      <c r="G1498" t="s">
        <v>60</v>
      </c>
      <c r="H1498" t="s">
        <v>6601</v>
      </c>
    </row>
    <row r="1499" spans="1:8" x14ac:dyDescent="0.35">
      <c r="A1499" t="s">
        <v>6602</v>
      </c>
      <c r="B1499" t="str">
        <f>"9780299250034"</f>
        <v>9780299250034</v>
      </c>
      <c r="C1499" t="s">
        <v>6603</v>
      </c>
      <c r="D1499" t="s">
        <v>6604</v>
      </c>
      <c r="E1499" t="s">
        <v>6578</v>
      </c>
      <c r="F1499" t="s">
        <v>6605</v>
      </c>
      <c r="G1499" t="s">
        <v>44</v>
      </c>
      <c r="H1499" t="s">
        <v>6606</v>
      </c>
    </row>
    <row r="1500" spans="1:8" x14ac:dyDescent="0.35">
      <c r="A1500" t="s">
        <v>6607</v>
      </c>
      <c r="B1500" t="str">
        <f>"9780299288938"</f>
        <v>9780299288938</v>
      </c>
      <c r="C1500" t="s">
        <v>6608</v>
      </c>
      <c r="D1500" t="s">
        <v>6609</v>
      </c>
      <c r="E1500" t="s">
        <v>6578</v>
      </c>
      <c r="G1500" t="s">
        <v>44</v>
      </c>
      <c r="H1500" t="s">
        <v>6609</v>
      </c>
    </row>
    <row r="1501" spans="1:8" x14ac:dyDescent="0.35">
      <c r="A1501" t="s">
        <v>6610</v>
      </c>
      <c r="B1501" t="str">
        <f>"9780299289331"</f>
        <v>9780299289331</v>
      </c>
      <c r="C1501" t="s">
        <v>6611</v>
      </c>
      <c r="D1501" t="s">
        <v>6612</v>
      </c>
      <c r="E1501" t="s">
        <v>6578</v>
      </c>
      <c r="G1501" t="s">
        <v>44</v>
      </c>
      <c r="H1501" t="s">
        <v>6613</v>
      </c>
    </row>
    <row r="1502" spans="1:8" x14ac:dyDescent="0.35">
      <c r="A1502" t="s">
        <v>6614</v>
      </c>
      <c r="B1502" t="str">
        <f>"9780299291136"</f>
        <v>9780299291136</v>
      </c>
      <c r="C1502" t="s">
        <v>6615</v>
      </c>
      <c r="D1502" t="s">
        <v>6616</v>
      </c>
      <c r="E1502" t="s">
        <v>6578</v>
      </c>
      <c r="F1502" t="s">
        <v>6605</v>
      </c>
      <c r="G1502" t="s">
        <v>305</v>
      </c>
      <c r="H1502" t="s">
        <v>6617</v>
      </c>
    </row>
    <row r="1503" spans="1:8" x14ac:dyDescent="0.35">
      <c r="A1503" t="s">
        <v>6618</v>
      </c>
      <c r="B1503" t="str">
        <f>"9780299292539"</f>
        <v>9780299292539</v>
      </c>
      <c r="C1503" t="s">
        <v>6619</v>
      </c>
      <c r="D1503" t="s">
        <v>6620</v>
      </c>
      <c r="E1503" t="s">
        <v>6578</v>
      </c>
      <c r="F1503" t="s">
        <v>6621</v>
      </c>
      <c r="G1503" t="s">
        <v>60</v>
      </c>
      <c r="H1503" t="s">
        <v>6622</v>
      </c>
    </row>
    <row r="1504" spans="1:8" x14ac:dyDescent="0.35">
      <c r="A1504" t="s">
        <v>6623</v>
      </c>
      <c r="B1504" t="str">
        <f>"9780299291037"</f>
        <v>9780299291037</v>
      </c>
      <c r="C1504" t="s">
        <v>6624</v>
      </c>
      <c r="D1504" t="s">
        <v>6625</v>
      </c>
      <c r="E1504" t="s">
        <v>6578</v>
      </c>
      <c r="G1504" t="s">
        <v>39</v>
      </c>
      <c r="H1504" t="s">
        <v>6626</v>
      </c>
    </row>
    <row r="1505" spans="1:8" x14ac:dyDescent="0.35">
      <c r="A1505" t="s">
        <v>6627</v>
      </c>
      <c r="B1505" t="str">
        <f>"9780299293031"</f>
        <v>9780299293031</v>
      </c>
      <c r="C1505" t="s">
        <v>6628</v>
      </c>
      <c r="D1505" t="s">
        <v>6629</v>
      </c>
      <c r="E1505" t="s">
        <v>6578</v>
      </c>
      <c r="G1505" t="s">
        <v>83</v>
      </c>
      <c r="H1505" t="s">
        <v>6630</v>
      </c>
    </row>
    <row r="1506" spans="1:8" x14ac:dyDescent="0.35">
      <c r="A1506" t="s">
        <v>6631</v>
      </c>
      <c r="B1506" t="str">
        <f>"9780299295431"</f>
        <v>9780299295431</v>
      </c>
      <c r="C1506" t="s">
        <v>6632</v>
      </c>
      <c r="D1506" t="s">
        <v>6633</v>
      </c>
      <c r="E1506" t="s">
        <v>6578</v>
      </c>
      <c r="F1506" t="s">
        <v>6634</v>
      </c>
      <c r="G1506" t="s">
        <v>139</v>
      </c>
      <c r="H1506" t="s">
        <v>6635</v>
      </c>
    </row>
    <row r="1507" spans="1:8" x14ac:dyDescent="0.35">
      <c r="A1507" t="s">
        <v>6636</v>
      </c>
      <c r="B1507" t="str">
        <f>"9780299301033"</f>
        <v>9780299301033</v>
      </c>
      <c r="C1507" t="s">
        <v>6637</v>
      </c>
      <c r="D1507" t="s">
        <v>6638</v>
      </c>
      <c r="E1507" t="s">
        <v>6578</v>
      </c>
      <c r="F1507" t="s">
        <v>6639</v>
      </c>
      <c r="G1507" t="s">
        <v>55</v>
      </c>
      <c r="H1507" t="s">
        <v>6640</v>
      </c>
    </row>
    <row r="1508" spans="1:8" x14ac:dyDescent="0.35">
      <c r="A1508" t="s">
        <v>6641</v>
      </c>
      <c r="B1508" t="str">
        <f>"9780299299835"</f>
        <v>9780299299835</v>
      </c>
      <c r="C1508" t="s">
        <v>6642</v>
      </c>
      <c r="D1508" t="s">
        <v>6643</v>
      </c>
      <c r="E1508" t="s">
        <v>6578</v>
      </c>
      <c r="F1508" t="s">
        <v>6605</v>
      </c>
      <c r="G1508" t="s">
        <v>3660</v>
      </c>
      <c r="H1508" t="s">
        <v>6644</v>
      </c>
    </row>
    <row r="1509" spans="1:8" x14ac:dyDescent="0.35">
      <c r="A1509" t="s">
        <v>6645</v>
      </c>
      <c r="B1509" t="str">
        <f>"9780813572024"</f>
        <v>9780813572024</v>
      </c>
      <c r="C1509" t="s">
        <v>6646</v>
      </c>
      <c r="D1509" t="s">
        <v>6647</v>
      </c>
      <c r="E1509" t="s">
        <v>299</v>
      </c>
      <c r="F1509" t="s">
        <v>6648</v>
      </c>
      <c r="G1509" t="s">
        <v>83</v>
      </c>
      <c r="H1509" t="s">
        <v>6649</v>
      </c>
    </row>
    <row r="1510" spans="1:8" x14ac:dyDescent="0.35">
      <c r="A1510" t="s">
        <v>6650</v>
      </c>
      <c r="B1510" t="str">
        <f>"9780804795678"</f>
        <v>9780804795678</v>
      </c>
      <c r="C1510" t="s">
        <v>6651</v>
      </c>
      <c r="D1510" t="s">
        <v>6652</v>
      </c>
      <c r="E1510" t="s">
        <v>680</v>
      </c>
      <c r="F1510" t="s">
        <v>6653</v>
      </c>
      <c r="G1510" t="s">
        <v>22</v>
      </c>
      <c r="H1510" t="s">
        <v>6654</v>
      </c>
    </row>
    <row r="1511" spans="1:8" x14ac:dyDescent="0.35">
      <c r="A1511" t="s">
        <v>6655</v>
      </c>
      <c r="B1511" t="str">
        <f>"9780472029129"</f>
        <v>9780472029129</v>
      </c>
      <c r="C1511" t="s">
        <v>6656</v>
      </c>
      <c r="D1511" t="s">
        <v>6657</v>
      </c>
      <c r="E1511" t="s">
        <v>5592</v>
      </c>
      <c r="G1511" t="s">
        <v>139</v>
      </c>
      <c r="H1511" t="s">
        <v>6658</v>
      </c>
    </row>
    <row r="1512" spans="1:8" x14ac:dyDescent="0.35">
      <c r="A1512" t="s">
        <v>6659</v>
      </c>
      <c r="B1512" t="str">
        <f>"9780472029440"</f>
        <v>9780472029440</v>
      </c>
      <c r="C1512" t="s">
        <v>6660</v>
      </c>
      <c r="D1512" t="s">
        <v>6661</v>
      </c>
      <c r="E1512" t="s">
        <v>5592</v>
      </c>
      <c r="G1512" t="s">
        <v>60</v>
      </c>
      <c r="H1512" t="s">
        <v>2507</v>
      </c>
    </row>
    <row r="1513" spans="1:8" x14ac:dyDescent="0.35">
      <c r="A1513" t="s">
        <v>6662</v>
      </c>
      <c r="B1513" t="str">
        <f>"9780268080679"</f>
        <v>9780268080679</v>
      </c>
      <c r="C1513" t="s">
        <v>6663</v>
      </c>
      <c r="D1513" t="s">
        <v>6664</v>
      </c>
      <c r="E1513" t="s">
        <v>5705</v>
      </c>
      <c r="F1513" t="s">
        <v>5721</v>
      </c>
      <c r="G1513" t="s">
        <v>305</v>
      </c>
      <c r="H1513" t="s">
        <v>6665</v>
      </c>
    </row>
    <row r="1514" spans="1:8" x14ac:dyDescent="0.35">
      <c r="A1514" t="s">
        <v>6666</v>
      </c>
      <c r="B1514" t="str">
        <f>"9780268085797"</f>
        <v>9780268085797</v>
      </c>
      <c r="C1514" t="s">
        <v>6667</v>
      </c>
      <c r="D1514" t="s">
        <v>6668</v>
      </c>
      <c r="E1514" t="s">
        <v>5705</v>
      </c>
      <c r="F1514" t="s">
        <v>5721</v>
      </c>
      <c r="G1514" t="s">
        <v>305</v>
      </c>
      <c r="H1514" t="s">
        <v>6669</v>
      </c>
    </row>
    <row r="1515" spans="1:8" x14ac:dyDescent="0.35">
      <c r="A1515" t="s">
        <v>6670</v>
      </c>
      <c r="B1515" t="str">
        <f>"9780268080662"</f>
        <v>9780268080662</v>
      </c>
      <c r="C1515" t="s">
        <v>6671</v>
      </c>
      <c r="D1515" t="s">
        <v>6672</v>
      </c>
      <c r="E1515" t="s">
        <v>5705</v>
      </c>
      <c r="F1515" t="s">
        <v>5706</v>
      </c>
      <c r="G1515" t="s">
        <v>55</v>
      </c>
      <c r="H1515" t="s">
        <v>6673</v>
      </c>
    </row>
    <row r="1516" spans="1:8" x14ac:dyDescent="0.35">
      <c r="A1516" t="s">
        <v>6674</v>
      </c>
      <c r="B1516" t="str">
        <f>"9780268076924"</f>
        <v>9780268076924</v>
      </c>
      <c r="C1516" t="s">
        <v>6675</v>
      </c>
      <c r="D1516" t="s">
        <v>6676</v>
      </c>
      <c r="E1516" t="s">
        <v>5705</v>
      </c>
      <c r="F1516" t="s">
        <v>5721</v>
      </c>
      <c r="G1516" t="s">
        <v>96</v>
      </c>
      <c r="H1516" t="s">
        <v>6677</v>
      </c>
    </row>
    <row r="1517" spans="1:8" x14ac:dyDescent="0.35">
      <c r="A1517" t="s">
        <v>6678</v>
      </c>
      <c r="B1517" t="str">
        <f>"9780268082659"</f>
        <v>9780268082659</v>
      </c>
      <c r="C1517" t="s">
        <v>6679</v>
      </c>
      <c r="D1517" t="s">
        <v>6680</v>
      </c>
      <c r="E1517" t="s">
        <v>5705</v>
      </c>
      <c r="F1517" t="s">
        <v>5721</v>
      </c>
      <c r="G1517" t="s">
        <v>305</v>
      </c>
      <c r="H1517" t="s">
        <v>6681</v>
      </c>
    </row>
    <row r="1518" spans="1:8" x14ac:dyDescent="0.35">
      <c r="A1518" t="s">
        <v>6682</v>
      </c>
      <c r="B1518" t="str">
        <f>"9781628464801"</f>
        <v>9781628464801</v>
      </c>
      <c r="C1518" t="s">
        <v>6683</v>
      </c>
      <c r="D1518" t="s">
        <v>6684</v>
      </c>
      <c r="E1518" t="s">
        <v>735</v>
      </c>
      <c r="F1518" t="s">
        <v>4546</v>
      </c>
      <c r="G1518" t="s">
        <v>60</v>
      </c>
      <c r="H1518" t="s">
        <v>6685</v>
      </c>
    </row>
    <row r="1519" spans="1:8" x14ac:dyDescent="0.35">
      <c r="A1519" t="s">
        <v>6686</v>
      </c>
      <c r="B1519" t="str">
        <f>"9780292794467"</f>
        <v>9780292794467</v>
      </c>
      <c r="C1519" t="s">
        <v>6687</v>
      </c>
      <c r="D1519" t="s">
        <v>6688</v>
      </c>
      <c r="E1519" t="s">
        <v>5849</v>
      </c>
      <c r="G1519" t="s">
        <v>4359</v>
      </c>
      <c r="H1519" t="s">
        <v>6689</v>
      </c>
    </row>
    <row r="1520" spans="1:8" x14ac:dyDescent="0.35">
      <c r="A1520" t="s">
        <v>6690</v>
      </c>
      <c r="B1520" t="str">
        <f>"9780292784680"</f>
        <v>9780292784680</v>
      </c>
      <c r="C1520" t="s">
        <v>6691</v>
      </c>
      <c r="D1520" t="s">
        <v>6692</v>
      </c>
      <c r="E1520" t="s">
        <v>5849</v>
      </c>
      <c r="G1520" t="s">
        <v>28</v>
      </c>
      <c r="H1520" t="s">
        <v>6693</v>
      </c>
    </row>
    <row r="1521" spans="1:8" x14ac:dyDescent="0.35">
      <c r="A1521" t="s">
        <v>6694</v>
      </c>
      <c r="B1521" t="str">
        <f>"9780292734753"</f>
        <v>9780292734753</v>
      </c>
      <c r="C1521" t="s">
        <v>6695</v>
      </c>
      <c r="D1521" t="s">
        <v>6696</v>
      </c>
      <c r="E1521" t="s">
        <v>5849</v>
      </c>
      <c r="F1521" t="s">
        <v>6124</v>
      </c>
      <c r="G1521" t="s">
        <v>44</v>
      </c>
      <c r="H1521" t="s">
        <v>6697</v>
      </c>
    </row>
    <row r="1522" spans="1:8" x14ac:dyDescent="0.35">
      <c r="A1522" t="s">
        <v>6698</v>
      </c>
      <c r="B1522" t="str">
        <f>"9780292734715"</f>
        <v>9780292734715</v>
      </c>
      <c r="C1522" t="s">
        <v>6699</v>
      </c>
      <c r="D1522" t="s">
        <v>6700</v>
      </c>
      <c r="E1522" t="s">
        <v>5849</v>
      </c>
      <c r="G1522" t="s">
        <v>60</v>
      </c>
      <c r="H1522" t="s">
        <v>6701</v>
      </c>
    </row>
    <row r="1523" spans="1:8" x14ac:dyDescent="0.35">
      <c r="A1523" t="s">
        <v>6702</v>
      </c>
      <c r="B1523" t="str">
        <f>"9780292734869"</f>
        <v>9780292734869</v>
      </c>
      <c r="C1523" t="s">
        <v>6703</v>
      </c>
      <c r="D1523" t="s">
        <v>6704</v>
      </c>
      <c r="E1523" t="s">
        <v>5849</v>
      </c>
      <c r="F1523" t="s">
        <v>6705</v>
      </c>
      <c r="G1523" t="s">
        <v>139</v>
      </c>
      <c r="H1523" t="s">
        <v>6706</v>
      </c>
    </row>
    <row r="1524" spans="1:8" x14ac:dyDescent="0.35">
      <c r="A1524" t="s">
        <v>6707</v>
      </c>
      <c r="B1524" t="str">
        <f>"9780292737877"</f>
        <v>9780292737877</v>
      </c>
      <c r="C1524" t="s">
        <v>6708</v>
      </c>
      <c r="D1524" t="s">
        <v>6709</v>
      </c>
      <c r="E1524" t="s">
        <v>5849</v>
      </c>
      <c r="G1524" t="s">
        <v>44</v>
      </c>
      <c r="H1524" t="s">
        <v>6710</v>
      </c>
    </row>
    <row r="1525" spans="1:8" x14ac:dyDescent="0.35">
      <c r="A1525" t="s">
        <v>6711</v>
      </c>
      <c r="B1525" t="str">
        <f>"9780292739000"</f>
        <v>9780292739000</v>
      </c>
      <c r="C1525" t="s">
        <v>6712</v>
      </c>
      <c r="D1525" t="s">
        <v>6713</v>
      </c>
      <c r="E1525" t="s">
        <v>5849</v>
      </c>
      <c r="F1525" t="s">
        <v>6714</v>
      </c>
      <c r="G1525" t="s">
        <v>6715</v>
      </c>
      <c r="H1525" t="s">
        <v>6716</v>
      </c>
    </row>
    <row r="1526" spans="1:8" x14ac:dyDescent="0.35">
      <c r="A1526" t="s">
        <v>6717</v>
      </c>
      <c r="B1526" t="str">
        <f>"9780292758421"</f>
        <v>9780292758421</v>
      </c>
      <c r="C1526" t="s">
        <v>6718</v>
      </c>
      <c r="D1526" t="s">
        <v>6719</v>
      </c>
      <c r="E1526" t="s">
        <v>5849</v>
      </c>
      <c r="G1526" t="s">
        <v>186</v>
      </c>
      <c r="H1526" t="s">
        <v>6720</v>
      </c>
    </row>
    <row r="1527" spans="1:8" x14ac:dyDescent="0.35">
      <c r="A1527" t="s">
        <v>6721</v>
      </c>
      <c r="B1527" t="str">
        <f>"9780292768338"</f>
        <v>9780292768338</v>
      </c>
      <c r="C1527" t="s">
        <v>6722</v>
      </c>
      <c r="D1527" t="s">
        <v>5884</v>
      </c>
      <c r="E1527" t="s">
        <v>5849</v>
      </c>
      <c r="G1527" t="s">
        <v>139</v>
      </c>
      <c r="H1527" t="s">
        <v>6723</v>
      </c>
    </row>
    <row r="1528" spans="1:8" x14ac:dyDescent="0.35">
      <c r="A1528" t="s">
        <v>6724</v>
      </c>
      <c r="B1528" t="str">
        <f>"9780292739079"</f>
        <v>9780292739079</v>
      </c>
      <c r="C1528" t="s">
        <v>6725</v>
      </c>
      <c r="D1528" t="s">
        <v>6726</v>
      </c>
      <c r="E1528" t="s">
        <v>5849</v>
      </c>
      <c r="F1528" t="s">
        <v>6119</v>
      </c>
      <c r="G1528" t="s">
        <v>44</v>
      </c>
      <c r="H1528" t="s">
        <v>6727</v>
      </c>
    </row>
    <row r="1529" spans="1:8" x14ac:dyDescent="0.35">
      <c r="A1529" t="s">
        <v>6728</v>
      </c>
      <c r="B1529" t="str">
        <f>"9780292768291"</f>
        <v>9780292768291</v>
      </c>
      <c r="C1529" t="s">
        <v>6729</v>
      </c>
      <c r="D1529" t="s">
        <v>6730</v>
      </c>
      <c r="E1529" t="s">
        <v>5849</v>
      </c>
      <c r="F1529" t="s">
        <v>6124</v>
      </c>
      <c r="G1529" t="s">
        <v>44</v>
      </c>
      <c r="H1529" t="s">
        <v>6731</v>
      </c>
    </row>
    <row r="1530" spans="1:8" x14ac:dyDescent="0.35">
      <c r="A1530" t="s">
        <v>6732</v>
      </c>
      <c r="B1530" t="str">
        <f>"9780292759244"</f>
        <v>9780292759244</v>
      </c>
      <c r="C1530" t="s">
        <v>6733</v>
      </c>
      <c r="D1530" t="s">
        <v>5661</v>
      </c>
      <c r="E1530" t="s">
        <v>5849</v>
      </c>
      <c r="G1530" t="s">
        <v>139</v>
      </c>
      <c r="H1530" t="s">
        <v>6734</v>
      </c>
    </row>
    <row r="1531" spans="1:8" x14ac:dyDescent="0.35">
      <c r="A1531" t="s">
        <v>6735</v>
      </c>
      <c r="B1531" t="str">
        <f>"9780292763159"</f>
        <v>9780292763159</v>
      </c>
      <c r="C1531" t="s">
        <v>6736</v>
      </c>
      <c r="D1531" t="s">
        <v>6737</v>
      </c>
      <c r="E1531" t="s">
        <v>5849</v>
      </c>
      <c r="G1531" t="s">
        <v>726</v>
      </c>
      <c r="H1531" t="s">
        <v>6738</v>
      </c>
    </row>
    <row r="1532" spans="1:8" x14ac:dyDescent="0.35">
      <c r="A1532" t="s">
        <v>6739</v>
      </c>
      <c r="B1532" t="str">
        <f>"9780292759275"</f>
        <v>9780292759275</v>
      </c>
      <c r="C1532" t="s">
        <v>6740</v>
      </c>
      <c r="D1532" t="s">
        <v>2863</v>
      </c>
      <c r="E1532" t="s">
        <v>5849</v>
      </c>
      <c r="G1532" t="s">
        <v>726</v>
      </c>
      <c r="H1532" t="s">
        <v>6741</v>
      </c>
    </row>
    <row r="1533" spans="1:8" x14ac:dyDescent="0.35">
      <c r="A1533" t="s">
        <v>6742</v>
      </c>
      <c r="B1533" t="str">
        <f>"9780292767362"</f>
        <v>9780292767362</v>
      </c>
      <c r="C1533" t="s">
        <v>6743</v>
      </c>
      <c r="D1533" t="s">
        <v>6744</v>
      </c>
      <c r="E1533" t="s">
        <v>5849</v>
      </c>
      <c r="G1533" t="s">
        <v>60</v>
      </c>
      <c r="H1533" t="s">
        <v>6745</v>
      </c>
    </row>
    <row r="1534" spans="1:8" x14ac:dyDescent="0.35">
      <c r="A1534" t="s">
        <v>6746</v>
      </c>
      <c r="B1534" t="str">
        <f>"9780292763562"</f>
        <v>9780292763562</v>
      </c>
      <c r="C1534" t="s">
        <v>6747</v>
      </c>
      <c r="D1534" t="s">
        <v>6748</v>
      </c>
      <c r="E1534" t="s">
        <v>5849</v>
      </c>
      <c r="G1534" t="s">
        <v>139</v>
      </c>
      <c r="H1534" t="s">
        <v>6749</v>
      </c>
    </row>
    <row r="1535" spans="1:8" x14ac:dyDescent="0.35">
      <c r="A1535" t="s">
        <v>6750</v>
      </c>
      <c r="B1535" t="str">
        <f>"9780292767560"</f>
        <v>9780292767560</v>
      </c>
      <c r="C1535" t="s">
        <v>6751</v>
      </c>
      <c r="D1535" t="s">
        <v>6752</v>
      </c>
      <c r="E1535" t="s">
        <v>5849</v>
      </c>
      <c r="G1535" t="s">
        <v>83</v>
      </c>
      <c r="H1535" t="s">
        <v>6753</v>
      </c>
    </row>
    <row r="1536" spans="1:8" x14ac:dyDescent="0.35">
      <c r="A1536" t="s">
        <v>6754</v>
      </c>
      <c r="B1536" t="str">
        <f>"9780292760981"</f>
        <v>9780292760981</v>
      </c>
      <c r="C1536" t="s">
        <v>6755</v>
      </c>
      <c r="D1536" t="s">
        <v>6756</v>
      </c>
      <c r="E1536" t="s">
        <v>5849</v>
      </c>
      <c r="F1536" t="s">
        <v>6757</v>
      </c>
      <c r="G1536" t="s">
        <v>139</v>
      </c>
      <c r="H1536" t="s">
        <v>6758</v>
      </c>
    </row>
    <row r="1537" spans="1:8" x14ac:dyDescent="0.35">
      <c r="A1537" t="s">
        <v>6759</v>
      </c>
      <c r="B1537" t="str">
        <f>"9780292768154"</f>
        <v>9780292768154</v>
      </c>
      <c r="C1537" t="s">
        <v>6760</v>
      </c>
      <c r="D1537" t="s">
        <v>6761</v>
      </c>
      <c r="E1537" t="s">
        <v>5849</v>
      </c>
      <c r="F1537" t="s">
        <v>6762</v>
      </c>
      <c r="G1537" t="s">
        <v>4266</v>
      </c>
      <c r="H1537" t="s">
        <v>6763</v>
      </c>
    </row>
    <row r="1538" spans="1:8" x14ac:dyDescent="0.35">
      <c r="A1538" t="s">
        <v>6764</v>
      </c>
      <c r="B1538" t="str">
        <f>"9780292761070"</f>
        <v>9780292761070</v>
      </c>
      <c r="C1538" t="s">
        <v>6765</v>
      </c>
      <c r="D1538" t="s">
        <v>6766</v>
      </c>
      <c r="E1538" t="s">
        <v>5849</v>
      </c>
      <c r="F1538" t="s">
        <v>6767</v>
      </c>
      <c r="G1538" t="s">
        <v>157</v>
      </c>
      <c r="H1538" t="s">
        <v>6768</v>
      </c>
    </row>
    <row r="1539" spans="1:8" x14ac:dyDescent="0.35">
      <c r="A1539" t="s">
        <v>6769</v>
      </c>
      <c r="B1539" t="str">
        <f>"9781477305959"</f>
        <v>9781477305959</v>
      </c>
      <c r="C1539" t="s">
        <v>6770</v>
      </c>
      <c r="D1539" t="s">
        <v>6771</v>
      </c>
      <c r="E1539" t="s">
        <v>5849</v>
      </c>
      <c r="G1539" t="s">
        <v>39</v>
      </c>
      <c r="H1539" t="s">
        <v>6772</v>
      </c>
    </row>
    <row r="1540" spans="1:8" x14ac:dyDescent="0.35">
      <c r="A1540" t="s">
        <v>6773</v>
      </c>
      <c r="B1540" t="str">
        <f>"9780292768178"</f>
        <v>9780292768178</v>
      </c>
      <c r="C1540" t="s">
        <v>6774</v>
      </c>
      <c r="D1540" t="s">
        <v>6775</v>
      </c>
      <c r="E1540" t="s">
        <v>5849</v>
      </c>
      <c r="F1540" t="s">
        <v>6119</v>
      </c>
      <c r="G1540" t="s">
        <v>2855</v>
      </c>
      <c r="H1540" t="s">
        <v>2856</v>
      </c>
    </row>
    <row r="1541" spans="1:8" x14ac:dyDescent="0.35">
      <c r="A1541" t="s">
        <v>6776</v>
      </c>
      <c r="B1541" t="str">
        <f>"9780292771994"</f>
        <v>9780292771994</v>
      </c>
      <c r="C1541" t="s">
        <v>6777</v>
      </c>
      <c r="D1541" t="s">
        <v>6778</v>
      </c>
      <c r="E1541" t="s">
        <v>5849</v>
      </c>
      <c r="G1541" t="s">
        <v>44</v>
      </c>
      <c r="H1541" t="s">
        <v>6779</v>
      </c>
    </row>
    <row r="1542" spans="1:8" x14ac:dyDescent="0.35">
      <c r="A1542" t="s">
        <v>6780</v>
      </c>
      <c r="B1542" t="str">
        <f>"9780292766631"</f>
        <v>9780292766631</v>
      </c>
      <c r="C1542" t="s">
        <v>6781</v>
      </c>
      <c r="D1542" t="s">
        <v>6782</v>
      </c>
      <c r="E1542" t="s">
        <v>5849</v>
      </c>
      <c r="F1542" t="s">
        <v>6429</v>
      </c>
      <c r="G1542" t="s">
        <v>1047</v>
      </c>
      <c r="H1542" t="s">
        <v>6783</v>
      </c>
    </row>
    <row r="1543" spans="1:8" x14ac:dyDescent="0.35">
      <c r="A1543" t="s">
        <v>6784</v>
      </c>
      <c r="B1543" t="str">
        <f>"9780292766600"</f>
        <v>9780292766600</v>
      </c>
      <c r="C1543" t="s">
        <v>6785</v>
      </c>
      <c r="D1543" t="s">
        <v>6786</v>
      </c>
      <c r="E1543" t="s">
        <v>5849</v>
      </c>
      <c r="F1543" t="s">
        <v>6762</v>
      </c>
      <c r="G1543" t="s">
        <v>6787</v>
      </c>
      <c r="H1543" t="s">
        <v>6788</v>
      </c>
    </row>
    <row r="1544" spans="1:8" x14ac:dyDescent="0.35">
      <c r="A1544" t="s">
        <v>6789</v>
      </c>
      <c r="B1544" t="str">
        <f>"9780520960732"</f>
        <v>9780520960732</v>
      </c>
      <c r="C1544" t="s">
        <v>6790</v>
      </c>
      <c r="D1544" t="s">
        <v>6791</v>
      </c>
      <c r="E1544" t="s">
        <v>69</v>
      </c>
      <c r="G1544" t="s">
        <v>28</v>
      </c>
      <c r="H1544" t="s">
        <v>6792</v>
      </c>
    </row>
    <row r="1545" spans="1:8" x14ac:dyDescent="0.35">
      <c r="A1545" t="s">
        <v>6793</v>
      </c>
      <c r="B1545" t="str">
        <f>"9780813055220"</f>
        <v>9780813055220</v>
      </c>
      <c r="C1545" t="s">
        <v>6794</v>
      </c>
      <c r="D1545" t="s">
        <v>6795</v>
      </c>
      <c r="E1545" t="s">
        <v>1788</v>
      </c>
      <c r="F1545" t="s">
        <v>1864</v>
      </c>
      <c r="G1545" t="s">
        <v>44</v>
      </c>
      <c r="H1545" t="s">
        <v>6796</v>
      </c>
    </row>
    <row r="1546" spans="1:8" x14ac:dyDescent="0.35">
      <c r="A1546" t="s">
        <v>6797</v>
      </c>
      <c r="B1546" t="str">
        <f>"9780813055640"</f>
        <v>9780813055640</v>
      </c>
      <c r="C1546" t="s">
        <v>6798</v>
      </c>
      <c r="D1546" t="s">
        <v>6799</v>
      </c>
      <c r="E1546" t="s">
        <v>1788</v>
      </c>
      <c r="G1546" t="s">
        <v>282</v>
      </c>
      <c r="H1546" t="s">
        <v>6800</v>
      </c>
    </row>
    <row r="1547" spans="1:8" x14ac:dyDescent="0.35">
      <c r="A1547" t="s">
        <v>6801</v>
      </c>
      <c r="B1547" t="str">
        <f>"9780826345660"</f>
        <v>9780826345660</v>
      </c>
      <c r="C1547" t="s">
        <v>6802</v>
      </c>
      <c r="D1547" t="s">
        <v>6803</v>
      </c>
      <c r="E1547" t="s">
        <v>2439</v>
      </c>
      <c r="G1547" t="s">
        <v>139</v>
      </c>
      <c r="H1547" t="s">
        <v>6804</v>
      </c>
    </row>
    <row r="1548" spans="1:8" x14ac:dyDescent="0.35">
      <c r="A1548" t="s">
        <v>6805</v>
      </c>
      <c r="B1548" t="str">
        <f>"9780826351715"</f>
        <v>9780826351715</v>
      </c>
      <c r="C1548" t="s">
        <v>6806</v>
      </c>
      <c r="D1548" t="s">
        <v>6807</v>
      </c>
      <c r="E1548" t="s">
        <v>2439</v>
      </c>
      <c r="G1548" t="s">
        <v>44</v>
      </c>
      <c r="H1548" t="s">
        <v>6808</v>
      </c>
    </row>
    <row r="1549" spans="1:8" x14ac:dyDescent="0.35">
      <c r="A1549" t="s">
        <v>6809</v>
      </c>
      <c r="B1549" t="str">
        <f>"9780826356222"</f>
        <v>9780826356222</v>
      </c>
      <c r="C1549" t="s">
        <v>6810</v>
      </c>
      <c r="D1549" t="s">
        <v>6811</v>
      </c>
      <c r="E1549" t="s">
        <v>2439</v>
      </c>
      <c r="G1549" t="s">
        <v>55</v>
      </c>
      <c r="H1549" t="s">
        <v>6812</v>
      </c>
    </row>
    <row r="1550" spans="1:8" x14ac:dyDescent="0.35">
      <c r="A1550" t="s">
        <v>6813</v>
      </c>
      <c r="B1550" t="str">
        <f>"9780520958821"</f>
        <v>9780520958821</v>
      </c>
      <c r="C1550" t="s">
        <v>6814</v>
      </c>
      <c r="D1550" t="s">
        <v>6815</v>
      </c>
      <c r="E1550" t="s">
        <v>69</v>
      </c>
      <c r="G1550" t="s">
        <v>376</v>
      </c>
      <c r="H1550" t="s">
        <v>6816</v>
      </c>
    </row>
    <row r="1551" spans="1:8" x14ac:dyDescent="0.35">
      <c r="A1551" t="s">
        <v>6817</v>
      </c>
      <c r="B1551" t="str">
        <f>"9780520963405"</f>
        <v>9780520963405</v>
      </c>
      <c r="C1551" t="s">
        <v>6818</v>
      </c>
      <c r="D1551" t="s">
        <v>6819</v>
      </c>
      <c r="E1551" t="s">
        <v>69</v>
      </c>
      <c r="G1551" t="s">
        <v>55</v>
      </c>
      <c r="H1551" t="s">
        <v>6820</v>
      </c>
    </row>
    <row r="1552" spans="1:8" x14ac:dyDescent="0.35">
      <c r="A1552" t="s">
        <v>6821</v>
      </c>
      <c r="B1552" t="str">
        <f>"9780520963535"</f>
        <v>9780520963535</v>
      </c>
      <c r="C1552" t="s">
        <v>6822</v>
      </c>
      <c r="D1552" t="s">
        <v>6823</v>
      </c>
      <c r="E1552" t="s">
        <v>69</v>
      </c>
      <c r="G1552" t="s">
        <v>139</v>
      </c>
      <c r="H1552" t="s">
        <v>6824</v>
      </c>
    </row>
    <row r="1553" spans="1:8" x14ac:dyDescent="0.35">
      <c r="A1553" t="s">
        <v>6825</v>
      </c>
      <c r="B1553" t="str">
        <f>"9780199715114"</f>
        <v>9780199715114</v>
      </c>
      <c r="C1553" t="s">
        <v>6826</v>
      </c>
      <c r="D1553" t="s">
        <v>6827</v>
      </c>
      <c r="E1553" t="s">
        <v>355</v>
      </c>
      <c r="F1553" t="s">
        <v>6828</v>
      </c>
      <c r="G1553" t="s">
        <v>1551</v>
      </c>
      <c r="H1553" t="s">
        <v>6829</v>
      </c>
    </row>
    <row r="1554" spans="1:8" x14ac:dyDescent="0.35">
      <c r="A1554" t="s">
        <v>6830</v>
      </c>
      <c r="B1554" t="str">
        <f>"9781498513869"</f>
        <v>9781498513869</v>
      </c>
      <c r="C1554" t="s">
        <v>6831</v>
      </c>
      <c r="D1554" t="s">
        <v>6832</v>
      </c>
      <c r="E1554" t="s">
        <v>518</v>
      </c>
      <c r="G1554" t="s">
        <v>1116</v>
      </c>
      <c r="H1554" t="s">
        <v>6833</v>
      </c>
    </row>
    <row r="1555" spans="1:8" x14ac:dyDescent="0.35">
      <c r="A1555" t="s">
        <v>6834</v>
      </c>
      <c r="B1555" t="str">
        <f>"9781498514170"</f>
        <v>9781498514170</v>
      </c>
      <c r="C1555" t="s">
        <v>6835</v>
      </c>
      <c r="D1555" t="s">
        <v>6836</v>
      </c>
      <c r="E1555" t="s">
        <v>518</v>
      </c>
      <c r="G1555" t="s">
        <v>157</v>
      </c>
      <c r="H1555" t="s">
        <v>6837</v>
      </c>
    </row>
    <row r="1556" spans="1:8" x14ac:dyDescent="0.35">
      <c r="A1556" t="s">
        <v>6838</v>
      </c>
      <c r="B1556" t="str">
        <f>"9783110399455"</f>
        <v>9783110399455</v>
      </c>
      <c r="C1556" t="s">
        <v>6839</v>
      </c>
      <c r="D1556" t="s">
        <v>6840</v>
      </c>
      <c r="E1556" t="s">
        <v>6841</v>
      </c>
      <c r="F1556" t="s">
        <v>6842</v>
      </c>
      <c r="G1556" t="s">
        <v>55</v>
      </c>
      <c r="H1556" t="s">
        <v>6843</v>
      </c>
    </row>
    <row r="1557" spans="1:8" x14ac:dyDescent="0.35">
      <c r="A1557" t="s">
        <v>6844</v>
      </c>
      <c r="B1557" t="str">
        <f>"9781315664347"</f>
        <v>9781315664347</v>
      </c>
      <c r="C1557" t="s">
        <v>6845</v>
      </c>
      <c r="D1557" t="s">
        <v>6846</v>
      </c>
      <c r="E1557" t="s">
        <v>11</v>
      </c>
      <c r="G1557" t="s">
        <v>305</v>
      </c>
      <c r="H1557" t="s">
        <v>5761</v>
      </c>
    </row>
    <row r="1558" spans="1:8" x14ac:dyDescent="0.35">
      <c r="A1558" t="s">
        <v>6847</v>
      </c>
      <c r="B1558" t="str">
        <f>"9781119193753"</f>
        <v>9781119193753</v>
      </c>
      <c r="C1558" t="s">
        <v>6848</v>
      </c>
      <c r="D1558" t="s">
        <v>6849</v>
      </c>
      <c r="E1558" t="s">
        <v>567</v>
      </c>
      <c r="F1558" t="s">
        <v>6850</v>
      </c>
      <c r="G1558" t="s">
        <v>112</v>
      </c>
      <c r="H1558" t="s">
        <v>6851</v>
      </c>
    </row>
    <row r="1559" spans="1:8" x14ac:dyDescent="0.35">
      <c r="A1559" t="s">
        <v>6852</v>
      </c>
      <c r="B1559" t="str">
        <f>"9781498515283"</f>
        <v>9781498515283</v>
      </c>
      <c r="C1559" t="s">
        <v>6853</v>
      </c>
      <c r="D1559" t="s">
        <v>6854</v>
      </c>
      <c r="E1559" t="s">
        <v>518</v>
      </c>
      <c r="G1559" t="s">
        <v>22</v>
      </c>
      <c r="H1559" t="s">
        <v>6855</v>
      </c>
    </row>
    <row r="1560" spans="1:8" x14ac:dyDescent="0.35">
      <c r="A1560" t="s">
        <v>6856</v>
      </c>
      <c r="B1560" t="str">
        <f>"9781611688573"</f>
        <v>9781611688573</v>
      </c>
      <c r="C1560" t="s">
        <v>6857</v>
      </c>
      <c r="D1560" t="s">
        <v>6858</v>
      </c>
      <c r="E1560" t="s">
        <v>6859</v>
      </c>
      <c r="F1560" t="s">
        <v>6860</v>
      </c>
      <c r="G1560" t="s">
        <v>60</v>
      </c>
      <c r="H1560" t="s">
        <v>6861</v>
      </c>
    </row>
    <row r="1561" spans="1:8" x14ac:dyDescent="0.35">
      <c r="A1561" t="s">
        <v>6862</v>
      </c>
      <c r="B1561" t="str">
        <f>"9780295806143"</f>
        <v>9780295806143</v>
      </c>
      <c r="C1561" t="s">
        <v>6863</v>
      </c>
      <c r="D1561" t="s">
        <v>6864</v>
      </c>
      <c r="E1561" t="s">
        <v>6561</v>
      </c>
      <c r="G1561" t="s">
        <v>305</v>
      </c>
      <c r="H1561" t="s">
        <v>6865</v>
      </c>
    </row>
    <row r="1562" spans="1:8" x14ac:dyDescent="0.35">
      <c r="A1562" t="s">
        <v>6866</v>
      </c>
      <c r="B1562" t="str">
        <f>"9781782842316"</f>
        <v>9781782842316</v>
      </c>
      <c r="C1562" t="s">
        <v>6867</v>
      </c>
      <c r="D1562" t="s">
        <v>6868</v>
      </c>
      <c r="E1562" t="s">
        <v>2808</v>
      </c>
      <c r="G1562" t="s">
        <v>139</v>
      </c>
      <c r="H1562" t="s">
        <v>6869</v>
      </c>
    </row>
    <row r="1563" spans="1:8" x14ac:dyDescent="0.35">
      <c r="A1563" t="s">
        <v>6870</v>
      </c>
      <c r="B1563" t="str">
        <f>"9780826356291"</f>
        <v>9780826356291</v>
      </c>
      <c r="C1563" t="s">
        <v>6871</v>
      </c>
      <c r="D1563" t="s">
        <v>6872</v>
      </c>
      <c r="E1563" t="s">
        <v>2439</v>
      </c>
      <c r="G1563" t="s">
        <v>186</v>
      </c>
      <c r="H1563" t="s">
        <v>6873</v>
      </c>
    </row>
    <row r="1564" spans="1:8" x14ac:dyDescent="0.35">
      <c r="A1564" t="s">
        <v>6874</v>
      </c>
      <c r="B1564" t="str">
        <f>"9780874178616"</f>
        <v>9780874178616</v>
      </c>
      <c r="C1564" t="s">
        <v>6875</v>
      </c>
      <c r="D1564" t="s">
        <v>6876</v>
      </c>
      <c r="E1564" t="s">
        <v>6877</v>
      </c>
      <c r="G1564" t="s">
        <v>112</v>
      </c>
      <c r="H1564" t="s">
        <v>6878</v>
      </c>
    </row>
    <row r="1565" spans="1:8" x14ac:dyDescent="0.35">
      <c r="A1565" t="s">
        <v>6879</v>
      </c>
      <c r="B1565" t="str">
        <f>"9780822981244"</f>
        <v>9780822981244</v>
      </c>
      <c r="C1565" t="s">
        <v>6880</v>
      </c>
      <c r="D1565" t="s">
        <v>6881</v>
      </c>
      <c r="E1565" t="s">
        <v>3980</v>
      </c>
      <c r="F1565" t="s">
        <v>6882</v>
      </c>
      <c r="G1565" t="s">
        <v>60</v>
      </c>
      <c r="H1565" t="s">
        <v>6883</v>
      </c>
    </row>
    <row r="1566" spans="1:8" x14ac:dyDescent="0.35">
      <c r="A1566" t="s">
        <v>6884</v>
      </c>
      <c r="B1566" t="str">
        <f>"9781626375437"</f>
        <v>9781626375437</v>
      </c>
      <c r="C1566" t="s">
        <v>6885</v>
      </c>
      <c r="D1566" t="s">
        <v>6886</v>
      </c>
      <c r="E1566" t="s">
        <v>4891</v>
      </c>
      <c r="F1566" t="s">
        <v>6887</v>
      </c>
      <c r="G1566" t="s">
        <v>83</v>
      </c>
      <c r="H1566" t="s">
        <v>6888</v>
      </c>
    </row>
    <row r="1567" spans="1:8" x14ac:dyDescent="0.35">
      <c r="A1567" t="s">
        <v>6889</v>
      </c>
      <c r="B1567" t="str">
        <f>"9781626373280"</f>
        <v>9781626373280</v>
      </c>
      <c r="C1567" t="s">
        <v>6890</v>
      </c>
      <c r="D1567" t="s">
        <v>6891</v>
      </c>
      <c r="E1567" t="s">
        <v>4891</v>
      </c>
      <c r="G1567" t="s">
        <v>305</v>
      </c>
      <c r="H1567" t="s">
        <v>6892</v>
      </c>
    </row>
    <row r="1568" spans="1:8" x14ac:dyDescent="0.35">
      <c r="A1568" t="s">
        <v>6893</v>
      </c>
      <c r="B1568" t="str">
        <f>"9781626373587"</f>
        <v>9781626373587</v>
      </c>
      <c r="C1568" t="s">
        <v>6894</v>
      </c>
      <c r="D1568" t="s">
        <v>6895</v>
      </c>
      <c r="E1568" t="s">
        <v>4891</v>
      </c>
      <c r="G1568" t="s">
        <v>44</v>
      </c>
      <c r="H1568" t="s">
        <v>6896</v>
      </c>
    </row>
    <row r="1569" spans="1:8" x14ac:dyDescent="0.35">
      <c r="A1569" t="s">
        <v>6897</v>
      </c>
      <c r="B1569" t="str">
        <f>"9781552388266"</f>
        <v>9781552388266</v>
      </c>
      <c r="C1569" t="s">
        <v>6898</v>
      </c>
      <c r="D1569" t="s">
        <v>6899</v>
      </c>
      <c r="E1569" t="s">
        <v>4806</v>
      </c>
      <c r="F1569" t="s">
        <v>6900</v>
      </c>
      <c r="G1569" t="s">
        <v>22</v>
      </c>
      <c r="H1569" t="s">
        <v>6901</v>
      </c>
    </row>
    <row r="1570" spans="1:8" x14ac:dyDescent="0.35">
      <c r="A1570" t="s">
        <v>6902</v>
      </c>
      <c r="B1570" t="str">
        <f>"9780803280946"</f>
        <v>9780803280946</v>
      </c>
      <c r="C1570" t="s">
        <v>6903</v>
      </c>
      <c r="D1570" t="s">
        <v>6904</v>
      </c>
      <c r="E1570" t="s">
        <v>1191</v>
      </c>
      <c r="G1570" t="s">
        <v>186</v>
      </c>
      <c r="H1570" t="s">
        <v>6905</v>
      </c>
    </row>
    <row r="1571" spans="1:8" x14ac:dyDescent="0.35">
      <c r="A1571" t="s">
        <v>6906</v>
      </c>
      <c r="B1571" t="str">
        <f>"9780896804913"</f>
        <v>9780896804913</v>
      </c>
      <c r="C1571" t="s">
        <v>6907</v>
      </c>
      <c r="D1571" t="s">
        <v>6908</v>
      </c>
      <c r="E1571" t="s">
        <v>3540</v>
      </c>
      <c r="F1571" t="s">
        <v>3541</v>
      </c>
      <c r="G1571" t="s">
        <v>44</v>
      </c>
      <c r="H1571" t="s">
        <v>6909</v>
      </c>
    </row>
    <row r="1572" spans="1:8" x14ac:dyDescent="0.35">
      <c r="A1572" t="s">
        <v>6910</v>
      </c>
      <c r="B1572" t="str">
        <f>"9781610446662"</f>
        <v>9781610446662</v>
      </c>
      <c r="C1572" t="s">
        <v>6911</v>
      </c>
      <c r="D1572" t="s">
        <v>6912</v>
      </c>
      <c r="E1572" t="s">
        <v>6913</v>
      </c>
      <c r="G1572" t="s">
        <v>726</v>
      </c>
      <c r="H1572" t="s">
        <v>6914</v>
      </c>
    </row>
    <row r="1573" spans="1:8" x14ac:dyDescent="0.35">
      <c r="A1573" t="s">
        <v>6915</v>
      </c>
      <c r="B1573" t="str">
        <f>"9780472120550"</f>
        <v>9780472120550</v>
      </c>
      <c r="C1573" t="s">
        <v>6916</v>
      </c>
      <c r="D1573" t="s">
        <v>6917</v>
      </c>
      <c r="E1573" t="s">
        <v>5592</v>
      </c>
      <c r="G1573" t="s">
        <v>39</v>
      </c>
      <c r="H1573" t="s">
        <v>6918</v>
      </c>
    </row>
    <row r="1574" spans="1:8" x14ac:dyDescent="0.35">
      <c r="A1574" t="s">
        <v>6919</v>
      </c>
      <c r="B1574" t="str">
        <f>"9781438459479"</f>
        <v>9781438459479</v>
      </c>
      <c r="C1574" t="s">
        <v>6920</v>
      </c>
      <c r="D1574" t="s">
        <v>6921</v>
      </c>
      <c r="E1574" t="s">
        <v>5040</v>
      </c>
      <c r="F1574" t="s">
        <v>6922</v>
      </c>
      <c r="G1574" t="s">
        <v>3510</v>
      </c>
      <c r="H1574" t="s">
        <v>6923</v>
      </c>
    </row>
    <row r="1575" spans="1:8" x14ac:dyDescent="0.35">
      <c r="A1575" t="s">
        <v>6924</v>
      </c>
      <c r="B1575" t="str">
        <f>"9781626746435"</f>
        <v>9781626746435</v>
      </c>
      <c r="C1575" t="s">
        <v>6925</v>
      </c>
      <c r="D1575" t="s">
        <v>6926</v>
      </c>
      <c r="E1575" t="s">
        <v>735</v>
      </c>
      <c r="F1575" t="s">
        <v>4546</v>
      </c>
      <c r="G1575" t="s">
        <v>83</v>
      </c>
      <c r="H1575" t="s">
        <v>6927</v>
      </c>
    </row>
    <row r="1576" spans="1:8" x14ac:dyDescent="0.35">
      <c r="A1576" t="s">
        <v>6928</v>
      </c>
      <c r="B1576" t="str">
        <f>"9780820348650"</f>
        <v>9780820348650</v>
      </c>
      <c r="C1576" t="s">
        <v>6929</v>
      </c>
      <c r="D1576" t="s">
        <v>6930</v>
      </c>
      <c r="E1576" t="s">
        <v>2762</v>
      </c>
      <c r="F1576" t="s">
        <v>6931</v>
      </c>
      <c r="G1576" t="s">
        <v>6932</v>
      </c>
      <c r="H1576" t="s">
        <v>6933</v>
      </c>
    </row>
    <row r="1577" spans="1:8" x14ac:dyDescent="0.35">
      <c r="A1577" t="s">
        <v>6934</v>
      </c>
      <c r="B1577" t="str">
        <f>"9781477307496"</f>
        <v>9781477307496</v>
      </c>
      <c r="C1577" t="s">
        <v>6935</v>
      </c>
      <c r="D1577" t="s">
        <v>6936</v>
      </c>
      <c r="E1577" t="s">
        <v>5849</v>
      </c>
      <c r="F1577" t="s">
        <v>6937</v>
      </c>
      <c r="G1577" t="s">
        <v>139</v>
      </c>
      <c r="H1577" t="s">
        <v>6938</v>
      </c>
    </row>
    <row r="1578" spans="1:8" x14ac:dyDescent="0.35">
      <c r="A1578" t="s">
        <v>6939</v>
      </c>
      <c r="B1578" t="str">
        <f>"9781477307717"</f>
        <v>9781477307717</v>
      </c>
      <c r="C1578" t="s">
        <v>6940</v>
      </c>
      <c r="D1578" t="s">
        <v>6941</v>
      </c>
      <c r="E1578" t="s">
        <v>5849</v>
      </c>
      <c r="F1578" t="s">
        <v>6496</v>
      </c>
      <c r="G1578" t="s">
        <v>55</v>
      </c>
      <c r="H1578" t="s">
        <v>6942</v>
      </c>
    </row>
    <row r="1579" spans="1:8" x14ac:dyDescent="0.35">
      <c r="A1579" t="s">
        <v>6943</v>
      </c>
      <c r="B1579" t="str">
        <f>"9781477307892"</f>
        <v>9781477307892</v>
      </c>
      <c r="C1579" t="s">
        <v>6944</v>
      </c>
      <c r="D1579" t="s">
        <v>6945</v>
      </c>
      <c r="E1579" t="s">
        <v>5849</v>
      </c>
      <c r="F1579" t="s">
        <v>6420</v>
      </c>
      <c r="G1579" t="s">
        <v>5454</v>
      </c>
      <c r="H1579" t="s">
        <v>6946</v>
      </c>
    </row>
    <row r="1580" spans="1:8" x14ac:dyDescent="0.35">
      <c r="A1580" t="s">
        <v>6947</v>
      </c>
      <c r="B1580" t="str">
        <f>"9781780324586"</f>
        <v>9781780324586</v>
      </c>
      <c r="C1580" t="s">
        <v>6948</v>
      </c>
      <c r="D1580" t="s">
        <v>6949</v>
      </c>
      <c r="E1580" t="s">
        <v>694</v>
      </c>
      <c r="G1580" t="s">
        <v>39</v>
      </c>
      <c r="H1580" t="s">
        <v>6950</v>
      </c>
    </row>
    <row r="1581" spans="1:8" x14ac:dyDescent="0.35">
      <c r="A1581" t="s">
        <v>6951</v>
      </c>
      <c r="B1581" t="str">
        <f>"9781783601998"</f>
        <v>9781783601998</v>
      </c>
      <c r="C1581" t="s">
        <v>6952</v>
      </c>
      <c r="D1581" t="s">
        <v>6953</v>
      </c>
      <c r="E1581" t="s">
        <v>694</v>
      </c>
      <c r="G1581" t="s">
        <v>305</v>
      </c>
      <c r="H1581" t="s">
        <v>6954</v>
      </c>
    </row>
    <row r="1582" spans="1:8" x14ac:dyDescent="0.35">
      <c r="A1582" t="s">
        <v>6955</v>
      </c>
      <c r="B1582" t="str">
        <f>"9780262330152"</f>
        <v>9780262330152</v>
      </c>
      <c r="C1582" t="s">
        <v>6956</v>
      </c>
      <c r="D1582" t="s">
        <v>6957</v>
      </c>
      <c r="E1582" t="s">
        <v>4932</v>
      </c>
      <c r="F1582" t="s">
        <v>6958</v>
      </c>
      <c r="G1582" t="s">
        <v>6959</v>
      </c>
      <c r="H1582" t="s">
        <v>6960</v>
      </c>
    </row>
    <row r="1583" spans="1:8" x14ac:dyDescent="0.35">
      <c r="A1583" t="s">
        <v>6961</v>
      </c>
      <c r="B1583" t="str">
        <f>"9780801899393"</f>
        <v>9780801899393</v>
      </c>
      <c r="C1583" t="s">
        <v>6962</v>
      </c>
      <c r="D1583" t="s">
        <v>6963</v>
      </c>
      <c r="E1583" t="s">
        <v>4848</v>
      </c>
      <c r="G1583" t="s">
        <v>44</v>
      </c>
      <c r="H1583" t="s">
        <v>6964</v>
      </c>
    </row>
    <row r="1584" spans="1:8" x14ac:dyDescent="0.35">
      <c r="A1584" t="s">
        <v>6965</v>
      </c>
      <c r="B1584" t="str">
        <f>"9781421401614"</f>
        <v>9781421401614</v>
      </c>
      <c r="C1584" t="s">
        <v>6966</v>
      </c>
      <c r="D1584" t="s">
        <v>6967</v>
      </c>
      <c r="E1584" t="s">
        <v>4848</v>
      </c>
      <c r="G1584" t="s">
        <v>305</v>
      </c>
      <c r="H1584" t="s">
        <v>6968</v>
      </c>
    </row>
    <row r="1585" spans="1:8" x14ac:dyDescent="0.35">
      <c r="A1585" t="s">
        <v>6969</v>
      </c>
      <c r="B1585" t="str">
        <f>"9781421418315"</f>
        <v>9781421418315</v>
      </c>
      <c r="C1585" t="s">
        <v>6970</v>
      </c>
      <c r="D1585" t="s">
        <v>6971</v>
      </c>
      <c r="E1585" t="s">
        <v>4848</v>
      </c>
      <c r="G1585" t="s">
        <v>305</v>
      </c>
      <c r="H1585" t="s">
        <v>6972</v>
      </c>
    </row>
    <row r="1586" spans="1:8" x14ac:dyDescent="0.35">
      <c r="A1586" t="s">
        <v>6973</v>
      </c>
      <c r="B1586" t="str">
        <f>"9780231541213"</f>
        <v>9780231541213</v>
      </c>
      <c r="C1586" t="s">
        <v>6974</v>
      </c>
      <c r="D1586" t="s">
        <v>6975</v>
      </c>
      <c r="E1586" t="s">
        <v>1755</v>
      </c>
      <c r="F1586" t="s">
        <v>6976</v>
      </c>
      <c r="G1586" t="s">
        <v>376</v>
      </c>
      <c r="H1586" t="s">
        <v>6977</v>
      </c>
    </row>
    <row r="1587" spans="1:8" x14ac:dyDescent="0.35">
      <c r="A1587" t="s">
        <v>6978</v>
      </c>
      <c r="B1587" t="str">
        <f>"9781438459127"</f>
        <v>9781438459127</v>
      </c>
      <c r="C1587" t="s">
        <v>6979</v>
      </c>
      <c r="D1587" t="s">
        <v>6980</v>
      </c>
      <c r="E1587" t="s">
        <v>5040</v>
      </c>
      <c r="F1587" t="s">
        <v>5193</v>
      </c>
      <c r="G1587" t="s">
        <v>139</v>
      </c>
      <c r="H1587" t="s">
        <v>6981</v>
      </c>
    </row>
    <row r="1588" spans="1:8" x14ac:dyDescent="0.35">
      <c r="A1588" t="s">
        <v>6982</v>
      </c>
      <c r="B1588" t="str">
        <f>"9780252098093"</f>
        <v>9780252098093</v>
      </c>
      <c r="C1588" t="s">
        <v>6983</v>
      </c>
      <c r="D1588" t="s">
        <v>6984</v>
      </c>
      <c r="E1588" t="s">
        <v>5497</v>
      </c>
      <c r="G1588" t="s">
        <v>55</v>
      </c>
      <c r="H1588" t="s">
        <v>6985</v>
      </c>
    </row>
    <row r="1589" spans="1:8" x14ac:dyDescent="0.35">
      <c r="A1589" t="s">
        <v>6986</v>
      </c>
      <c r="B1589" t="str">
        <f>"9781477305447"</f>
        <v>9781477305447</v>
      </c>
      <c r="C1589" t="s">
        <v>6987</v>
      </c>
      <c r="D1589" t="s">
        <v>6988</v>
      </c>
      <c r="E1589" t="s">
        <v>5849</v>
      </c>
      <c r="F1589" t="s">
        <v>6937</v>
      </c>
      <c r="G1589" t="s">
        <v>44</v>
      </c>
      <c r="H1589" t="s">
        <v>6989</v>
      </c>
    </row>
    <row r="1590" spans="1:8" x14ac:dyDescent="0.35">
      <c r="A1590" t="s">
        <v>6990</v>
      </c>
      <c r="B1590" t="str">
        <f>"9780826520586"</f>
        <v>9780826520586</v>
      </c>
      <c r="C1590" t="s">
        <v>6991</v>
      </c>
      <c r="D1590" t="s">
        <v>6992</v>
      </c>
      <c r="E1590" t="s">
        <v>3908</v>
      </c>
      <c r="G1590" t="s">
        <v>44</v>
      </c>
      <c r="H1590" t="s">
        <v>6993</v>
      </c>
    </row>
    <row r="1591" spans="1:8" x14ac:dyDescent="0.35">
      <c r="A1591" t="s">
        <v>6994</v>
      </c>
      <c r="B1591" t="str">
        <f>"9781579227890"</f>
        <v>9781579227890</v>
      </c>
      <c r="C1591" t="s">
        <v>6995</v>
      </c>
      <c r="D1591" t="s">
        <v>6996</v>
      </c>
      <c r="E1591" t="s">
        <v>1807</v>
      </c>
      <c r="G1591" t="s">
        <v>112</v>
      </c>
      <c r="H1591" t="s">
        <v>6997</v>
      </c>
    </row>
    <row r="1592" spans="1:8" x14ac:dyDescent="0.35">
      <c r="A1592" t="s">
        <v>6998</v>
      </c>
      <c r="B1592" t="str">
        <f>"9780816532223"</f>
        <v>9780816532223</v>
      </c>
      <c r="C1592" t="s">
        <v>6999</v>
      </c>
      <c r="D1592" t="s">
        <v>7000</v>
      </c>
      <c r="E1592" t="s">
        <v>5208</v>
      </c>
      <c r="G1592" t="s">
        <v>139</v>
      </c>
      <c r="H1592" t="s">
        <v>7001</v>
      </c>
    </row>
    <row r="1593" spans="1:8" x14ac:dyDescent="0.35">
      <c r="A1593" t="s">
        <v>7002</v>
      </c>
      <c r="B1593" t="str">
        <f>"9780816532278"</f>
        <v>9780816532278</v>
      </c>
      <c r="C1593" t="s">
        <v>7003</v>
      </c>
      <c r="D1593" t="s">
        <v>7004</v>
      </c>
      <c r="E1593" t="s">
        <v>5208</v>
      </c>
      <c r="G1593" t="s">
        <v>191</v>
      </c>
      <c r="H1593" t="s">
        <v>7005</v>
      </c>
    </row>
    <row r="1594" spans="1:8" x14ac:dyDescent="0.35">
      <c r="A1594" t="s">
        <v>7006</v>
      </c>
      <c r="B1594" t="str">
        <f>"9780816533664"</f>
        <v>9780816533664</v>
      </c>
      <c r="C1594" t="s">
        <v>7007</v>
      </c>
      <c r="D1594" t="s">
        <v>6368</v>
      </c>
      <c r="E1594" t="s">
        <v>5208</v>
      </c>
      <c r="G1594" t="s">
        <v>44</v>
      </c>
      <c r="H1594" t="s">
        <v>7008</v>
      </c>
    </row>
    <row r="1595" spans="1:8" x14ac:dyDescent="0.35">
      <c r="A1595" t="s">
        <v>7009</v>
      </c>
      <c r="B1595" t="str">
        <f>"9780816533701"</f>
        <v>9780816533701</v>
      </c>
      <c r="C1595" t="s">
        <v>7010</v>
      </c>
      <c r="D1595" t="s">
        <v>7011</v>
      </c>
      <c r="E1595" t="s">
        <v>5208</v>
      </c>
      <c r="G1595" t="s">
        <v>60</v>
      </c>
      <c r="H1595" t="s">
        <v>7012</v>
      </c>
    </row>
    <row r="1596" spans="1:8" x14ac:dyDescent="0.35">
      <c r="A1596" t="s">
        <v>7013</v>
      </c>
      <c r="B1596" t="str">
        <f>"9780804796316"</f>
        <v>9780804796316</v>
      </c>
      <c r="C1596" t="s">
        <v>7014</v>
      </c>
      <c r="D1596" t="s">
        <v>7015</v>
      </c>
      <c r="E1596" t="s">
        <v>680</v>
      </c>
      <c r="G1596" t="s">
        <v>39</v>
      </c>
      <c r="H1596" t="s">
        <v>7016</v>
      </c>
    </row>
    <row r="1597" spans="1:8" x14ac:dyDescent="0.35">
      <c r="A1597" t="s">
        <v>7017</v>
      </c>
      <c r="B1597" t="str">
        <f>"9780804796576"</f>
        <v>9780804796576</v>
      </c>
      <c r="C1597" t="s">
        <v>7018</v>
      </c>
      <c r="D1597" t="s">
        <v>7019</v>
      </c>
      <c r="E1597" t="s">
        <v>680</v>
      </c>
      <c r="G1597" t="s">
        <v>305</v>
      </c>
      <c r="H1597" t="s">
        <v>7020</v>
      </c>
    </row>
    <row r="1598" spans="1:8" x14ac:dyDescent="0.35">
      <c r="A1598" t="s">
        <v>7021</v>
      </c>
      <c r="B1598" t="str">
        <f>"9780804796903"</f>
        <v>9780804796903</v>
      </c>
      <c r="C1598" t="s">
        <v>7022</v>
      </c>
      <c r="D1598" t="s">
        <v>7023</v>
      </c>
      <c r="E1598" t="s">
        <v>680</v>
      </c>
      <c r="G1598" t="s">
        <v>39</v>
      </c>
      <c r="H1598" t="s">
        <v>7024</v>
      </c>
    </row>
    <row r="1599" spans="1:8" x14ac:dyDescent="0.35">
      <c r="A1599" t="s">
        <v>7025</v>
      </c>
      <c r="B1599" t="str">
        <f>"9780804797306"</f>
        <v>9780804797306</v>
      </c>
      <c r="C1599" t="s">
        <v>7026</v>
      </c>
      <c r="D1599" t="s">
        <v>7027</v>
      </c>
      <c r="E1599" t="s">
        <v>680</v>
      </c>
      <c r="G1599" t="s">
        <v>60</v>
      </c>
      <c r="H1599" t="s">
        <v>7028</v>
      </c>
    </row>
    <row r="1600" spans="1:8" x14ac:dyDescent="0.35">
      <c r="A1600" t="s">
        <v>7029</v>
      </c>
      <c r="B1600" t="str">
        <f>"9780268158477"</f>
        <v>9780268158477</v>
      </c>
      <c r="C1600" t="s">
        <v>7030</v>
      </c>
      <c r="D1600" t="s">
        <v>7031</v>
      </c>
      <c r="E1600" t="s">
        <v>5705</v>
      </c>
      <c r="F1600" t="s">
        <v>5752</v>
      </c>
      <c r="G1600" t="s">
        <v>305</v>
      </c>
      <c r="H1600" t="s">
        <v>7032</v>
      </c>
    </row>
    <row r="1601" spans="1:8" x14ac:dyDescent="0.35">
      <c r="A1601" t="s">
        <v>7033</v>
      </c>
      <c r="B1601" t="str">
        <f>"9780299306434"</f>
        <v>9780299306434</v>
      </c>
      <c r="C1601" t="s">
        <v>7034</v>
      </c>
      <c r="D1601" t="s">
        <v>7035</v>
      </c>
      <c r="E1601" t="s">
        <v>6578</v>
      </c>
      <c r="G1601" t="s">
        <v>22</v>
      </c>
      <c r="H1601" t="s">
        <v>7036</v>
      </c>
    </row>
    <row r="1602" spans="1:8" x14ac:dyDescent="0.35">
      <c r="A1602" t="s">
        <v>7037</v>
      </c>
      <c r="B1602" t="str">
        <f>"9781610447539"</f>
        <v>9781610447539</v>
      </c>
      <c r="C1602" t="s">
        <v>7038</v>
      </c>
      <c r="D1602" t="s">
        <v>7039</v>
      </c>
      <c r="E1602" t="s">
        <v>6913</v>
      </c>
      <c r="G1602" t="s">
        <v>83</v>
      </c>
      <c r="H1602" t="s">
        <v>7040</v>
      </c>
    </row>
    <row r="1603" spans="1:8" x14ac:dyDescent="0.35">
      <c r="A1603" t="s">
        <v>7041</v>
      </c>
      <c r="B1603" t="str">
        <f>"9781610447799"</f>
        <v>9781610447799</v>
      </c>
      <c r="C1603" t="s">
        <v>7042</v>
      </c>
      <c r="D1603" t="s">
        <v>7043</v>
      </c>
      <c r="E1603" t="s">
        <v>6913</v>
      </c>
      <c r="G1603" t="s">
        <v>726</v>
      </c>
      <c r="H1603" t="s">
        <v>7044</v>
      </c>
    </row>
    <row r="1604" spans="1:8" x14ac:dyDescent="0.35">
      <c r="A1604" t="s">
        <v>7045</v>
      </c>
      <c r="B1604" t="str">
        <f>"9781610448024"</f>
        <v>9781610448024</v>
      </c>
      <c r="C1604" t="s">
        <v>7046</v>
      </c>
      <c r="D1604" t="s">
        <v>7047</v>
      </c>
      <c r="E1604" t="s">
        <v>6913</v>
      </c>
      <c r="G1604" t="s">
        <v>55</v>
      </c>
      <c r="H1604" t="s">
        <v>7048</v>
      </c>
    </row>
    <row r="1605" spans="1:8" x14ac:dyDescent="0.35">
      <c r="A1605" t="s">
        <v>7049</v>
      </c>
      <c r="B1605" t="str">
        <f>"9780299306137"</f>
        <v>9780299306137</v>
      </c>
      <c r="C1605" t="s">
        <v>7050</v>
      </c>
      <c r="D1605" t="s">
        <v>7051</v>
      </c>
      <c r="E1605" t="s">
        <v>6578</v>
      </c>
      <c r="G1605" t="s">
        <v>186</v>
      </c>
      <c r="H1605" t="s">
        <v>7052</v>
      </c>
    </row>
    <row r="1606" spans="1:8" x14ac:dyDescent="0.35">
      <c r="A1606" t="s">
        <v>7053</v>
      </c>
      <c r="B1606" t="str">
        <f>"9780253007773"</f>
        <v>9780253007773</v>
      </c>
      <c r="C1606" t="s">
        <v>7054</v>
      </c>
      <c r="D1606" t="s">
        <v>7055</v>
      </c>
      <c r="E1606" t="s">
        <v>151</v>
      </c>
      <c r="G1606" t="s">
        <v>44</v>
      </c>
      <c r="H1606" t="s">
        <v>7056</v>
      </c>
    </row>
    <row r="1607" spans="1:8" x14ac:dyDescent="0.35">
      <c r="A1607" t="s">
        <v>7057</v>
      </c>
      <c r="B1607" t="str">
        <f>"9781317020622"</f>
        <v>9781317020622</v>
      </c>
      <c r="C1607" t="s">
        <v>7058</v>
      </c>
      <c r="D1607" t="s">
        <v>7059</v>
      </c>
      <c r="E1607" t="s">
        <v>11</v>
      </c>
      <c r="F1607" t="s">
        <v>7060</v>
      </c>
      <c r="G1607" t="s">
        <v>60</v>
      </c>
      <c r="H1607" t="s">
        <v>7061</v>
      </c>
    </row>
    <row r="1608" spans="1:8" x14ac:dyDescent="0.35">
      <c r="A1608" t="s">
        <v>7062</v>
      </c>
      <c r="B1608" t="str">
        <f>"9780874178234"</f>
        <v>9780874178234</v>
      </c>
      <c r="C1608" t="s">
        <v>7063</v>
      </c>
      <c r="D1608" t="s">
        <v>7064</v>
      </c>
      <c r="E1608" t="s">
        <v>6877</v>
      </c>
      <c r="F1608" t="s">
        <v>7065</v>
      </c>
      <c r="G1608" t="s">
        <v>305</v>
      </c>
      <c r="H1608" t="s">
        <v>7066</v>
      </c>
    </row>
    <row r="1609" spans="1:8" x14ac:dyDescent="0.35">
      <c r="A1609" t="s">
        <v>7067</v>
      </c>
      <c r="B1609" t="str">
        <f>"9781579229306"</f>
        <v>9781579229306</v>
      </c>
      <c r="C1609" t="s">
        <v>7068</v>
      </c>
      <c r="D1609" t="s">
        <v>7069</v>
      </c>
      <c r="E1609" t="s">
        <v>1807</v>
      </c>
      <c r="G1609" t="s">
        <v>112</v>
      </c>
      <c r="H1609" t="s">
        <v>6851</v>
      </c>
    </row>
    <row r="1610" spans="1:8" x14ac:dyDescent="0.35">
      <c r="A1610" t="s">
        <v>7070</v>
      </c>
      <c r="B1610" t="str">
        <f>"9780252098079"</f>
        <v>9780252098079</v>
      </c>
      <c r="C1610" t="s">
        <v>7071</v>
      </c>
      <c r="D1610" t="s">
        <v>7072</v>
      </c>
      <c r="E1610" t="s">
        <v>5497</v>
      </c>
      <c r="G1610" t="s">
        <v>60</v>
      </c>
      <c r="H1610" t="s">
        <v>7073</v>
      </c>
    </row>
    <row r="1611" spans="1:8" x14ac:dyDescent="0.35">
      <c r="A1611" t="s">
        <v>7074</v>
      </c>
      <c r="B1611" t="str">
        <f>"9781469627526"</f>
        <v>9781469627526</v>
      </c>
      <c r="C1611" t="s">
        <v>7075</v>
      </c>
      <c r="D1611" t="s">
        <v>7076</v>
      </c>
      <c r="E1611" t="s">
        <v>328</v>
      </c>
      <c r="G1611" t="s">
        <v>39</v>
      </c>
      <c r="H1611" t="s">
        <v>7077</v>
      </c>
    </row>
    <row r="1612" spans="1:8" x14ac:dyDescent="0.35">
      <c r="A1612" t="s">
        <v>7078</v>
      </c>
      <c r="B1612" t="str">
        <f>"9781626373815"</f>
        <v>9781626373815</v>
      </c>
      <c r="C1612" t="s">
        <v>7079</v>
      </c>
      <c r="D1612" t="s">
        <v>7080</v>
      </c>
      <c r="E1612" t="s">
        <v>4891</v>
      </c>
      <c r="F1612" t="s">
        <v>6887</v>
      </c>
      <c r="G1612" t="s">
        <v>44</v>
      </c>
      <c r="H1612" t="s">
        <v>7081</v>
      </c>
    </row>
    <row r="1613" spans="1:8" x14ac:dyDescent="0.35">
      <c r="A1613" t="s">
        <v>7082</v>
      </c>
      <c r="B1613" t="str">
        <f>"9780268080624"</f>
        <v>9780268080624</v>
      </c>
      <c r="C1613" t="s">
        <v>7083</v>
      </c>
      <c r="D1613" t="s">
        <v>7084</v>
      </c>
      <c r="E1613" t="s">
        <v>5705</v>
      </c>
      <c r="G1613" t="s">
        <v>55</v>
      </c>
      <c r="H1613" t="s">
        <v>7085</v>
      </c>
    </row>
    <row r="1614" spans="1:8" x14ac:dyDescent="0.35">
      <c r="A1614" t="s">
        <v>7086</v>
      </c>
      <c r="B1614" t="str">
        <f>"9780739133453"</f>
        <v>9780739133453</v>
      </c>
      <c r="C1614" t="s">
        <v>7087</v>
      </c>
      <c r="D1614" t="s">
        <v>7088</v>
      </c>
      <c r="E1614" t="s">
        <v>518</v>
      </c>
      <c r="F1614" t="s">
        <v>7089</v>
      </c>
      <c r="G1614" t="s">
        <v>44</v>
      </c>
      <c r="H1614" t="s">
        <v>7090</v>
      </c>
    </row>
    <row r="1615" spans="1:8" x14ac:dyDescent="0.35">
      <c r="A1615" t="s">
        <v>7091</v>
      </c>
      <c r="B1615" t="str">
        <f>"9780870818790"</f>
        <v>9780870818790</v>
      </c>
      <c r="C1615" t="s">
        <v>7092</v>
      </c>
      <c r="D1615" t="s">
        <v>7093</v>
      </c>
      <c r="E1615" t="s">
        <v>4491</v>
      </c>
      <c r="G1615" t="s">
        <v>96</v>
      </c>
      <c r="H1615" t="s">
        <v>7094</v>
      </c>
    </row>
    <row r="1616" spans="1:8" x14ac:dyDescent="0.35">
      <c r="A1616" t="s">
        <v>7095</v>
      </c>
      <c r="B1616" t="str">
        <f>"9780820349152"</f>
        <v>9780820349152</v>
      </c>
      <c r="C1616" t="s">
        <v>7096</v>
      </c>
      <c r="D1616" t="s">
        <v>1139</v>
      </c>
      <c r="E1616" t="s">
        <v>2762</v>
      </c>
      <c r="G1616" t="s">
        <v>96</v>
      </c>
      <c r="H1616" t="s">
        <v>7097</v>
      </c>
    </row>
    <row r="1617" spans="1:8" x14ac:dyDescent="0.35">
      <c r="A1617" t="s">
        <v>7098</v>
      </c>
      <c r="B1617" t="str">
        <f>"9780816533688"</f>
        <v>9780816533688</v>
      </c>
      <c r="C1617" t="s">
        <v>7099</v>
      </c>
      <c r="D1617" t="s">
        <v>7100</v>
      </c>
      <c r="E1617" t="s">
        <v>5208</v>
      </c>
      <c r="G1617" t="s">
        <v>44</v>
      </c>
      <c r="H1617" t="s">
        <v>7101</v>
      </c>
    </row>
    <row r="1618" spans="1:8" x14ac:dyDescent="0.35">
      <c r="A1618" t="s">
        <v>7102</v>
      </c>
      <c r="B1618" t="str">
        <f>"9780816533763"</f>
        <v>9780816533763</v>
      </c>
      <c r="C1618" t="s">
        <v>7103</v>
      </c>
      <c r="D1618" t="s">
        <v>7104</v>
      </c>
      <c r="E1618" t="s">
        <v>5208</v>
      </c>
      <c r="G1618" t="s">
        <v>39</v>
      </c>
      <c r="H1618" t="s">
        <v>7105</v>
      </c>
    </row>
    <row r="1619" spans="1:8" x14ac:dyDescent="0.35">
      <c r="A1619" t="s">
        <v>7106</v>
      </c>
      <c r="B1619" t="str">
        <f>"9780816533794"</f>
        <v>9780816533794</v>
      </c>
      <c r="C1619" t="s">
        <v>7107</v>
      </c>
      <c r="D1619" t="s">
        <v>7108</v>
      </c>
      <c r="E1619" t="s">
        <v>5208</v>
      </c>
      <c r="G1619" t="s">
        <v>44</v>
      </c>
      <c r="H1619" t="s">
        <v>7109</v>
      </c>
    </row>
    <row r="1620" spans="1:8" x14ac:dyDescent="0.35">
      <c r="A1620" t="s">
        <v>7110</v>
      </c>
      <c r="B1620" t="str">
        <f>"9780816598939"</f>
        <v>9780816598939</v>
      </c>
      <c r="C1620" t="s">
        <v>7111</v>
      </c>
      <c r="D1620" t="s">
        <v>7112</v>
      </c>
      <c r="E1620" t="s">
        <v>5208</v>
      </c>
      <c r="G1620" t="s">
        <v>83</v>
      </c>
      <c r="H1620" t="s">
        <v>7113</v>
      </c>
    </row>
    <row r="1621" spans="1:8" x14ac:dyDescent="0.35">
      <c r="A1621" t="s">
        <v>7114</v>
      </c>
      <c r="B1621" t="str">
        <f>"9781317122197"</f>
        <v>9781317122197</v>
      </c>
      <c r="C1621" t="s">
        <v>7115</v>
      </c>
      <c r="D1621" t="s">
        <v>7116</v>
      </c>
      <c r="E1621" t="s">
        <v>11</v>
      </c>
      <c r="G1621" t="s">
        <v>44</v>
      </c>
    </row>
    <row r="1622" spans="1:8" x14ac:dyDescent="0.35">
      <c r="A1622" t="s">
        <v>7117</v>
      </c>
      <c r="B1622" t="str">
        <f>"9781135475635"</f>
        <v>9781135475635</v>
      </c>
      <c r="C1622" t="s">
        <v>7118</v>
      </c>
      <c r="D1622" t="s">
        <v>7119</v>
      </c>
      <c r="E1622" t="s">
        <v>11</v>
      </c>
      <c r="G1622" t="s">
        <v>39</v>
      </c>
      <c r="H1622" t="s">
        <v>7120</v>
      </c>
    </row>
    <row r="1623" spans="1:8" x14ac:dyDescent="0.35">
      <c r="A1623" t="s">
        <v>7121</v>
      </c>
      <c r="B1623" t="str">
        <f>"9780822981039"</f>
        <v>9780822981039</v>
      </c>
      <c r="C1623" t="s">
        <v>7122</v>
      </c>
      <c r="D1623" t="s">
        <v>7123</v>
      </c>
      <c r="E1623" t="s">
        <v>3980</v>
      </c>
      <c r="F1623" t="s">
        <v>7124</v>
      </c>
      <c r="G1623" t="s">
        <v>96</v>
      </c>
      <c r="H1623" t="s">
        <v>7125</v>
      </c>
    </row>
    <row r="1624" spans="1:8" x14ac:dyDescent="0.35">
      <c r="A1624" t="s">
        <v>7126</v>
      </c>
      <c r="B1624" t="str">
        <f>"9781613762677"</f>
        <v>9781613762677</v>
      </c>
      <c r="C1624" t="s">
        <v>7127</v>
      </c>
      <c r="D1624" t="s">
        <v>7128</v>
      </c>
      <c r="E1624" t="s">
        <v>7129</v>
      </c>
      <c r="F1624" t="s">
        <v>7130</v>
      </c>
      <c r="G1624" t="s">
        <v>39</v>
      </c>
      <c r="H1624" t="s">
        <v>7131</v>
      </c>
    </row>
    <row r="1625" spans="1:8" x14ac:dyDescent="0.35">
      <c r="A1625" t="s">
        <v>7132</v>
      </c>
      <c r="B1625" t="str">
        <f>"9781613762134"</f>
        <v>9781613762134</v>
      </c>
      <c r="C1625" t="s">
        <v>7133</v>
      </c>
      <c r="D1625" t="s">
        <v>7134</v>
      </c>
      <c r="E1625" t="s">
        <v>7129</v>
      </c>
      <c r="F1625" t="s">
        <v>7130</v>
      </c>
      <c r="G1625" t="s">
        <v>44</v>
      </c>
      <c r="H1625" t="s">
        <v>7135</v>
      </c>
    </row>
    <row r="1626" spans="1:8" x14ac:dyDescent="0.35">
      <c r="A1626" t="s">
        <v>7136</v>
      </c>
      <c r="B1626" t="str">
        <f>"9781443882095"</f>
        <v>9781443882095</v>
      </c>
      <c r="C1626" t="s">
        <v>7137</v>
      </c>
      <c r="D1626" t="s">
        <v>7138</v>
      </c>
      <c r="E1626" t="s">
        <v>2326</v>
      </c>
      <c r="G1626" t="s">
        <v>214</v>
      </c>
      <c r="H1626" t="s">
        <v>7139</v>
      </c>
    </row>
    <row r="1627" spans="1:8" x14ac:dyDescent="0.35">
      <c r="A1627" t="s">
        <v>7140</v>
      </c>
      <c r="B1627" t="str">
        <f>"9781443887588"</f>
        <v>9781443887588</v>
      </c>
      <c r="C1627" t="s">
        <v>7141</v>
      </c>
      <c r="D1627" t="s">
        <v>7142</v>
      </c>
      <c r="E1627" t="s">
        <v>2326</v>
      </c>
      <c r="G1627" t="s">
        <v>60</v>
      </c>
      <c r="H1627" t="s">
        <v>7143</v>
      </c>
    </row>
    <row r="1628" spans="1:8" x14ac:dyDescent="0.35">
      <c r="A1628" t="s">
        <v>7144</v>
      </c>
      <c r="B1628" t="str">
        <f>"9780812292909"</f>
        <v>9780812292909</v>
      </c>
      <c r="C1628" t="s">
        <v>7145</v>
      </c>
      <c r="D1628" t="s">
        <v>7146</v>
      </c>
      <c r="E1628" t="s">
        <v>5784</v>
      </c>
      <c r="F1628" t="s">
        <v>5820</v>
      </c>
      <c r="G1628" t="s">
        <v>44</v>
      </c>
      <c r="H1628" t="s">
        <v>7147</v>
      </c>
    </row>
    <row r="1629" spans="1:8" x14ac:dyDescent="0.35">
      <c r="A1629" t="s">
        <v>7148</v>
      </c>
      <c r="B1629" t="str">
        <f>"9780814680865"</f>
        <v>9780814680865</v>
      </c>
      <c r="C1629" t="s">
        <v>7149</v>
      </c>
      <c r="D1629" t="s">
        <v>7150</v>
      </c>
      <c r="E1629" t="s">
        <v>7151</v>
      </c>
      <c r="G1629" t="s">
        <v>186</v>
      </c>
      <c r="H1629" t="s">
        <v>7152</v>
      </c>
    </row>
    <row r="1630" spans="1:8" x14ac:dyDescent="0.35">
      <c r="A1630" t="s">
        <v>7153</v>
      </c>
      <c r="B1630" t="str">
        <f>"9780815727972"</f>
        <v>9780815727972</v>
      </c>
      <c r="C1630" t="s">
        <v>7154</v>
      </c>
      <c r="D1630" t="s">
        <v>7155</v>
      </c>
      <c r="E1630" t="s">
        <v>156</v>
      </c>
      <c r="F1630" t="s">
        <v>7156</v>
      </c>
      <c r="G1630" t="s">
        <v>96</v>
      </c>
      <c r="H1630" t="s">
        <v>7157</v>
      </c>
    </row>
    <row r="1631" spans="1:8" x14ac:dyDescent="0.35">
      <c r="A1631" t="s">
        <v>7158</v>
      </c>
      <c r="B1631" t="str">
        <f>"9780815726975"</f>
        <v>9780815726975</v>
      </c>
      <c r="C1631" t="s">
        <v>7159</v>
      </c>
      <c r="D1631" t="s">
        <v>7160</v>
      </c>
      <c r="E1631" t="s">
        <v>156</v>
      </c>
      <c r="G1631" t="s">
        <v>334</v>
      </c>
      <c r="H1631" t="s">
        <v>7161</v>
      </c>
    </row>
    <row r="1632" spans="1:8" x14ac:dyDescent="0.35">
      <c r="A1632" t="s">
        <v>7162</v>
      </c>
      <c r="B1632" t="str">
        <f>"9780821399620"</f>
        <v>9780821399620</v>
      </c>
      <c r="C1632" t="s">
        <v>7163</v>
      </c>
      <c r="D1632" t="s">
        <v>7164</v>
      </c>
      <c r="E1632" t="s">
        <v>481</v>
      </c>
      <c r="F1632" t="s">
        <v>496</v>
      </c>
      <c r="G1632" t="s">
        <v>163</v>
      </c>
      <c r="H1632" t="s">
        <v>7165</v>
      </c>
    </row>
    <row r="1633" spans="1:8" x14ac:dyDescent="0.35">
      <c r="A1633" t="s">
        <v>7166</v>
      </c>
      <c r="B1633" t="str">
        <f>"9780812292978"</f>
        <v>9780812292978</v>
      </c>
      <c r="C1633" t="s">
        <v>7167</v>
      </c>
      <c r="D1633" t="s">
        <v>7168</v>
      </c>
      <c r="E1633" t="s">
        <v>5784</v>
      </c>
      <c r="F1633" t="s">
        <v>7169</v>
      </c>
      <c r="G1633" t="s">
        <v>44</v>
      </c>
      <c r="H1633" t="s">
        <v>7170</v>
      </c>
    </row>
    <row r="1634" spans="1:8" x14ac:dyDescent="0.35">
      <c r="A1634" t="s">
        <v>7171</v>
      </c>
      <c r="B1634" t="str">
        <f>"9781607814177"</f>
        <v>9781607814177</v>
      </c>
      <c r="C1634" t="s">
        <v>7172</v>
      </c>
      <c r="D1634" t="s">
        <v>7173</v>
      </c>
      <c r="E1634" t="s">
        <v>6513</v>
      </c>
      <c r="G1634" t="s">
        <v>44</v>
      </c>
      <c r="H1634" t="s">
        <v>7174</v>
      </c>
    </row>
    <row r="1635" spans="1:8" x14ac:dyDescent="0.35">
      <c r="A1635" t="s">
        <v>7175</v>
      </c>
      <c r="B1635" t="str">
        <f>"9780231541794"</f>
        <v>9780231541794</v>
      </c>
      <c r="C1635" t="s">
        <v>7176</v>
      </c>
      <c r="D1635" t="s">
        <v>7177</v>
      </c>
      <c r="E1635" t="s">
        <v>1755</v>
      </c>
      <c r="G1635" t="s">
        <v>39</v>
      </c>
      <c r="H1635" t="s">
        <v>7178</v>
      </c>
    </row>
    <row r="1636" spans="1:8" x14ac:dyDescent="0.35">
      <c r="A1636" t="s">
        <v>7179</v>
      </c>
      <c r="B1636" t="str">
        <f>"9780815727699"</f>
        <v>9780815727699</v>
      </c>
      <c r="C1636" t="s">
        <v>7180</v>
      </c>
      <c r="D1636" t="s">
        <v>7181</v>
      </c>
      <c r="E1636" t="s">
        <v>156</v>
      </c>
      <c r="G1636" t="s">
        <v>17</v>
      </c>
      <c r="H1636" t="s">
        <v>7182</v>
      </c>
    </row>
    <row r="1637" spans="1:8" x14ac:dyDescent="0.35">
      <c r="A1637" t="s">
        <v>7183</v>
      </c>
      <c r="B1637" t="str">
        <f>"9780739189191"</f>
        <v>9780739189191</v>
      </c>
      <c r="C1637" t="s">
        <v>7184</v>
      </c>
      <c r="D1637" t="s">
        <v>7185</v>
      </c>
      <c r="E1637" t="s">
        <v>518</v>
      </c>
      <c r="G1637" t="s">
        <v>83</v>
      </c>
      <c r="H1637" t="s">
        <v>7186</v>
      </c>
    </row>
    <row r="1638" spans="1:8" x14ac:dyDescent="0.35">
      <c r="A1638" t="s">
        <v>7187</v>
      </c>
      <c r="B1638" t="str">
        <f>"9783110428902"</f>
        <v>9783110428902</v>
      </c>
      <c r="C1638" t="s">
        <v>7188</v>
      </c>
      <c r="D1638" t="s">
        <v>7189</v>
      </c>
      <c r="E1638" t="s">
        <v>759</v>
      </c>
      <c r="F1638" t="s">
        <v>3293</v>
      </c>
      <c r="G1638" t="s">
        <v>146</v>
      </c>
      <c r="H1638" t="s">
        <v>7190</v>
      </c>
    </row>
    <row r="1639" spans="1:8" x14ac:dyDescent="0.35">
      <c r="A1639" t="s">
        <v>7191</v>
      </c>
      <c r="B1639" t="str">
        <f>"9781760460228"</f>
        <v>9781760460228</v>
      </c>
      <c r="C1639" t="s">
        <v>7192</v>
      </c>
      <c r="D1639" t="s">
        <v>7193</v>
      </c>
      <c r="E1639" t="s">
        <v>7194</v>
      </c>
      <c r="G1639" t="s">
        <v>96</v>
      </c>
      <c r="H1639" t="s">
        <v>7195</v>
      </c>
    </row>
    <row r="1640" spans="1:8" x14ac:dyDescent="0.35">
      <c r="A1640" t="s">
        <v>7196</v>
      </c>
      <c r="B1640" t="str">
        <f>"9781781387573"</f>
        <v>9781781387573</v>
      </c>
      <c r="C1640" t="s">
        <v>7197</v>
      </c>
      <c r="D1640" t="s">
        <v>6531</v>
      </c>
      <c r="E1640" t="s">
        <v>339</v>
      </c>
      <c r="F1640" t="s">
        <v>3156</v>
      </c>
      <c r="G1640" t="s">
        <v>60</v>
      </c>
      <c r="H1640" t="s">
        <v>7198</v>
      </c>
    </row>
    <row r="1641" spans="1:8" x14ac:dyDescent="0.35">
      <c r="A1641" t="s">
        <v>7199</v>
      </c>
      <c r="B1641" t="str">
        <f>"9781782843306"</f>
        <v>9781782843306</v>
      </c>
      <c r="C1641" t="s">
        <v>7200</v>
      </c>
      <c r="D1641" t="s">
        <v>7201</v>
      </c>
      <c r="E1641" t="s">
        <v>2808</v>
      </c>
      <c r="G1641" t="s">
        <v>139</v>
      </c>
      <c r="H1641" t="s">
        <v>7202</v>
      </c>
    </row>
    <row r="1642" spans="1:8" x14ac:dyDescent="0.35">
      <c r="A1642" t="s">
        <v>7203</v>
      </c>
      <c r="B1642" t="str">
        <f>"9781442668584"</f>
        <v>9781442668584</v>
      </c>
      <c r="C1642" t="s">
        <v>7204</v>
      </c>
      <c r="D1642" t="s">
        <v>7205</v>
      </c>
      <c r="E1642" t="s">
        <v>7206</v>
      </c>
      <c r="F1642" t="s">
        <v>7207</v>
      </c>
      <c r="G1642" t="s">
        <v>60</v>
      </c>
    </row>
    <row r="1643" spans="1:8" x14ac:dyDescent="0.35">
      <c r="A1643" t="s">
        <v>7208</v>
      </c>
      <c r="B1643" t="str">
        <f>"9781442668492"</f>
        <v>9781442668492</v>
      </c>
      <c r="C1643" t="s">
        <v>7209</v>
      </c>
      <c r="D1643" t="s">
        <v>7210</v>
      </c>
      <c r="E1643" t="s">
        <v>7206</v>
      </c>
      <c r="F1643" t="s">
        <v>7207</v>
      </c>
      <c r="G1643" t="s">
        <v>60</v>
      </c>
    </row>
    <row r="1644" spans="1:8" x14ac:dyDescent="0.35">
      <c r="A1644" t="s">
        <v>7211</v>
      </c>
      <c r="B1644" t="str">
        <f>"9780822981466"</f>
        <v>9780822981466</v>
      </c>
      <c r="C1644" t="s">
        <v>7212</v>
      </c>
      <c r="D1644" t="s">
        <v>7213</v>
      </c>
      <c r="E1644" t="s">
        <v>3980</v>
      </c>
      <c r="F1644" t="s">
        <v>7214</v>
      </c>
      <c r="G1644" t="s">
        <v>39</v>
      </c>
      <c r="H1644" t="s">
        <v>7215</v>
      </c>
    </row>
    <row r="1645" spans="1:8" x14ac:dyDescent="0.35">
      <c r="A1645" t="s">
        <v>7216</v>
      </c>
      <c r="B1645" t="str">
        <f>"9781442660298"</f>
        <v>9781442660298</v>
      </c>
      <c r="C1645" t="s">
        <v>7217</v>
      </c>
      <c r="D1645" t="s">
        <v>7218</v>
      </c>
      <c r="E1645" t="s">
        <v>7206</v>
      </c>
      <c r="F1645" t="s">
        <v>7219</v>
      </c>
      <c r="G1645" t="s">
        <v>60</v>
      </c>
    </row>
    <row r="1646" spans="1:8" x14ac:dyDescent="0.35">
      <c r="A1646" t="s">
        <v>7220</v>
      </c>
      <c r="B1646" t="str">
        <f>"9781442688100"</f>
        <v>9781442688100</v>
      </c>
      <c r="C1646" t="s">
        <v>7221</v>
      </c>
      <c r="D1646" t="s">
        <v>7222</v>
      </c>
      <c r="E1646" t="s">
        <v>7206</v>
      </c>
      <c r="G1646" t="s">
        <v>60</v>
      </c>
      <c r="H1646" t="s">
        <v>7223</v>
      </c>
    </row>
    <row r="1647" spans="1:8" x14ac:dyDescent="0.35">
      <c r="A1647" t="s">
        <v>7224</v>
      </c>
      <c r="B1647" t="str">
        <f>"9781609175047"</f>
        <v>9781609175047</v>
      </c>
      <c r="C1647" t="s">
        <v>7225</v>
      </c>
      <c r="D1647" t="s">
        <v>7226</v>
      </c>
      <c r="E1647" t="s">
        <v>4902</v>
      </c>
      <c r="F1647" t="s">
        <v>7227</v>
      </c>
      <c r="G1647" t="s">
        <v>44</v>
      </c>
      <c r="H1647" t="s">
        <v>7228</v>
      </c>
    </row>
    <row r="1648" spans="1:8" x14ac:dyDescent="0.35">
      <c r="A1648" t="s">
        <v>7229</v>
      </c>
      <c r="B1648" t="str">
        <f>"9781475536829"</f>
        <v>9781475536829</v>
      </c>
      <c r="C1648" t="s">
        <v>7230</v>
      </c>
      <c r="D1648" t="s">
        <v>7231</v>
      </c>
      <c r="E1648" t="s">
        <v>7232</v>
      </c>
      <c r="G1648" t="s">
        <v>376</v>
      </c>
      <c r="H1648" t="s">
        <v>7233</v>
      </c>
    </row>
    <row r="1649" spans="1:8" x14ac:dyDescent="0.35">
      <c r="A1649" t="s">
        <v>4722</v>
      </c>
      <c r="B1649" t="str">
        <f>"9781612493480"</f>
        <v>9781612493480</v>
      </c>
      <c r="C1649" t="s">
        <v>7234</v>
      </c>
      <c r="D1649" t="s">
        <v>7235</v>
      </c>
      <c r="E1649" t="s">
        <v>4706</v>
      </c>
      <c r="F1649" t="s">
        <v>4707</v>
      </c>
      <c r="G1649" t="s">
        <v>60</v>
      </c>
      <c r="H1649" t="s">
        <v>7236</v>
      </c>
    </row>
    <row r="1650" spans="1:8" x14ac:dyDescent="0.35">
      <c r="A1650" t="s">
        <v>7237</v>
      </c>
      <c r="B1650" t="str">
        <f>"9781612494647"</f>
        <v>9781612494647</v>
      </c>
      <c r="C1650" t="s">
        <v>7238</v>
      </c>
      <c r="D1650" t="s">
        <v>7239</v>
      </c>
      <c r="E1650" t="s">
        <v>4706</v>
      </c>
      <c r="F1650" t="s">
        <v>4707</v>
      </c>
      <c r="G1650" t="s">
        <v>60</v>
      </c>
      <c r="H1650" t="s">
        <v>7240</v>
      </c>
    </row>
    <row r="1651" spans="1:8" x14ac:dyDescent="0.35">
      <c r="A1651" t="s">
        <v>7241</v>
      </c>
      <c r="B1651" t="str">
        <f>"9780739182260"</f>
        <v>9780739182260</v>
      </c>
      <c r="C1651" t="s">
        <v>7242</v>
      </c>
      <c r="D1651" t="s">
        <v>7243</v>
      </c>
      <c r="E1651" t="s">
        <v>518</v>
      </c>
      <c r="G1651" t="s">
        <v>17</v>
      </c>
      <c r="H1651" t="s">
        <v>7244</v>
      </c>
    </row>
    <row r="1652" spans="1:8" x14ac:dyDescent="0.35">
      <c r="A1652" t="s">
        <v>7245</v>
      </c>
      <c r="B1652" t="str">
        <f>"9781681237206"</f>
        <v>9781681237206</v>
      </c>
      <c r="C1652" t="s">
        <v>7246</v>
      </c>
      <c r="D1652" t="s">
        <v>7247</v>
      </c>
      <c r="E1652" t="s">
        <v>4827</v>
      </c>
      <c r="F1652" t="s">
        <v>7248</v>
      </c>
      <c r="G1652" t="s">
        <v>3288</v>
      </c>
      <c r="H1652" t="s">
        <v>7249</v>
      </c>
    </row>
    <row r="1653" spans="1:8" x14ac:dyDescent="0.35">
      <c r="A1653" t="s">
        <v>7250</v>
      </c>
      <c r="B1653" t="str">
        <f>"9781518500916"</f>
        <v>9781518500916</v>
      </c>
      <c r="C1653" t="s">
        <v>7251</v>
      </c>
      <c r="D1653" t="s">
        <v>7252</v>
      </c>
      <c r="E1653" t="s">
        <v>4578</v>
      </c>
      <c r="G1653" t="s">
        <v>39</v>
      </c>
      <c r="H1653" t="s">
        <v>7253</v>
      </c>
    </row>
    <row r="1654" spans="1:8" x14ac:dyDescent="0.35">
      <c r="A1654" t="s">
        <v>7254</v>
      </c>
      <c r="B1654" t="str">
        <f>"9781771132701"</f>
        <v>9781771132701</v>
      </c>
      <c r="C1654" t="s">
        <v>7255</v>
      </c>
      <c r="D1654" t="s">
        <v>7256</v>
      </c>
      <c r="E1654" t="s">
        <v>7257</v>
      </c>
      <c r="G1654" t="s">
        <v>44</v>
      </c>
    </row>
    <row r="1655" spans="1:8" x14ac:dyDescent="0.35">
      <c r="A1655" t="s">
        <v>7258</v>
      </c>
      <c r="B1655" t="str">
        <f>"9781608467457"</f>
        <v>9781608467457</v>
      </c>
      <c r="C1655" t="s">
        <v>7259</v>
      </c>
      <c r="D1655" t="s">
        <v>7260</v>
      </c>
      <c r="E1655" t="s">
        <v>1130</v>
      </c>
      <c r="G1655" t="s">
        <v>96</v>
      </c>
      <c r="H1655" t="s">
        <v>7261</v>
      </c>
    </row>
    <row r="1656" spans="1:8" x14ac:dyDescent="0.35">
      <c r="A1656" t="s">
        <v>7262</v>
      </c>
      <c r="B1656" t="str">
        <f>"9780887554605"</f>
        <v>9780887554605</v>
      </c>
      <c r="C1656" t="s">
        <v>7263</v>
      </c>
      <c r="D1656" t="s">
        <v>7264</v>
      </c>
      <c r="E1656" t="s">
        <v>7265</v>
      </c>
      <c r="F1656" t="s">
        <v>7266</v>
      </c>
      <c r="G1656" t="s">
        <v>44</v>
      </c>
      <c r="H1656" t="s">
        <v>7267</v>
      </c>
    </row>
    <row r="1657" spans="1:8" x14ac:dyDescent="0.35">
      <c r="A1657" t="s">
        <v>7268</v>
      </c>
      <c r="B1657" t="str">
        <f>"9780826520876"</f>
        <v>9780826520876</v>
      </c>
      <c r="C1657" t="s">
        <v>7269</v>
      </c>
      <c r="D1657" t="s">
        <v>7270</v>
      </c>
      <c r="E1657" t="s">
        <v>3908</v>
      </c>
      <c r="G1657" t="s">
        <v>44</v>
      </c>
      <c r="H1657" t="s">
        <v>7271</v>
      </c>
    </row>
    <row r="1658" spans="1:8" x14ac:dyDescent="0.35">
      <c r="A1658" t="s">
        <v>7272</v>
      </c>
      <c r="B1658" t="str">
        <f>"9780826520555"</f>
        <v>9780826520555</v>
      </c>
      <c r="C1658" t="s">
        <v>7273</v>
      </c>
      <c r="D1658" t="s">
        <v>7274</v>
      </c>
      <c r="E1658" t="s">
        <v>3908</v>
      </c>
      <c r="G1658" t="s">
        <v>60</v>
      </c>
      <c r="H1658" t="s">
        <v>7275</v>
      </c>
    </row>
    <row r="1659" spans="1:8" x14ac:dyDescent="0.35">
      <c r="A1659" t="s">
        <v>7276</v>
      </c>
      <c r="B1659" t="str">
        <f>"9780826521118"</f>
        <v>9780826521118</v>
      </c>
      <c r="C1659" t="s">
        <v>7277</v>
      </c>
      <c r="D1659" t="s">
        <v>7278</v>
      </c>
      <c r="E1659" t="s">
        <v>3908</v>
      </c>
      <c r="G1659" t="s">
        <v>39</v>
      </c>
      <c r="H1659" t="s">
        <v>7279</v>
      </c>
    </row>
    <row r="1660" spans="1:8" x14ac:dyDescent="0.35">
      <c r="A1660" t="s">
        <v>7280</v>
      </c>
      <c r="B1660" t="str">
        <f>"9781496201362"</f>
        <v>9781496201362</v>
      </c>
      <c r="C1660" t="s">
        <v>7281</v>
      </c>
      <c r="D1660" t="s">
        <v>7282</v>
      </c>
      <c r="E1660" t="s">
        <v>1191</v>
      </c>
      <c r="F1660" t="s">
        <v>576</v>
      </c>
      <c r="G1660" t="s">
        <v>44</v>
      </c>
      <c r="H1660" t="s">
        <v>7283</v>
      </c>
    </row>
    <row r="1661" spans="1:8" x14ac:dyDescent="0.35">
      <c r="A1661" t="s">
        <v>7284</v>
      </c>
      <c r="B1661" t="str">
        <f>"9780813063171"</f>
        <v>9780813063171</v>
      </c>
      <c r="C1661" t="s">
        <v>7285</v>
      </c>
      <c r="D1661" t="s">
        <v>7286</v>
      </c>
      <c r="E1661" t="s">
        <v>1788</v>
      </c>
      <c r="G1661" t="s">
        <v>60</v>
      </c>
      <c r="H1661" t="s">
        <v>7287</v>
      </c>
    </row>
    <row r="1662" spans="1:8" x14ac:dyDescent="0.35">
      <c r="A1662" t="s">
        <v>7288</v>
      </c>
      <c r="B1662" t="str">
        <f>"9780826521477"</f>
        <v>9780826521477</v>
      </c>
      <c r="C1662" t="s">
        <v>7289</v>
      </c>
      <c r="D1662" t="s">
        <v>7290</v>
      </c>
      <c r="E1662" t="s">
        <v>3908</v>
      </c>
      <c r="G1662" t="s">
        <v>60</v>
      </c>
      <c r="H1662" t="s">
        <v>7291</v>
      </c>
    </row>
    <row r="1663" spans="1:8" x14ac:dyDescent="0.35">
      <c r="A1663" t="s">
        <v>7292</v>
      </c>
      <c r="B1663" t="str">
        <f>"9781518501265"</f>
        <v>9781518501265</v>
      </c>
      <c r="C1663" t="s">
        <v>7293</v>
      </c>
      <c r="D1663" t="s">
        <v>7294</v>
      </c>
      <c r="E1663" t="s">
        <v>4578</v>
      </c>
      <c r="G1663" t="s">
        <v>44</v>
      </c>
      <c r="H1663" t="s">
        <v>7295</v>
      </c>
    </row>
    <row r="1664" spans="1:8" x14ac:dyDescent="0.35">
      <c r="A1664" t="s">
        <v>7296</v>
      </c>
      <c r="B1664" t="str">
        <f>"9780262319522"</f>
        <v>9780262319522</v>
      </c>
      <c r="C1664" t="s">
        <v>7297</v>
      </c>
      <c r="D1664" t="s">
        <v>7298</v>
      </c>
      <c r="E1664" t="s">
        <v>4932</v>
      </c>
      <c r="F1664" t="s">
        <v>4939</v>
      </c>
      <c r="G1664" t="s">
        <v>39</v>
      </c>
      <c r="H1664" t="s">
        <v>7299</v>
      </c>
    </row>
    <row r="1665" spans="1:8" x14ac:dyDescent="0.35">
      <c r="A1665" t="s">
        <v>7300</v>
      </c>
      <c r="B1665" t="str">
        <f>"9783035607222"</f>
        <v>9783035607222</v>
      </c>
      <c r="C1665" t="s">
        <v>7301</v>
      </c>
      <c r="D1665" t="s">
        <v>7302</v>
      </c>
      <c r="E1665" t="s">
        <v>6841</v>
      </c>
      <c r="G1665" t="s">
        <v>2855</v>
      </c>
    </row>
    <row r="1666" spans="1:8" x14ac:dyDescent="0.35">
      <c r="A1666" t="s">
        <v>7303</v>
      </c>
      <c r="B1666" t="str">
        <f>"9780815732464"</f>
        <v>9780815732464</v>
      </c>
      <c r="C1666" t="s">
        <v>7304</v>
      </c>
      <c r="D1666" t="s">
        <v>7305</v>
      </c>
      <c r="E1666" t="s">
        <v>156</v>
      </c>
      <c r="G1666" t="s">
        <v>1874</v>
      </c>
      <c r="H1666" t="s">
        <v>7306</v>
      </c>
    </row>
    <row r="1667" spans="1:8" x14ac:dyDescent="0.35">
      <c r="A1667" t="s">
        <v>7307</v>
      </c>
      <c r="B1667" t="str">
        <f>"9781496204684"</f>
        <v>9781496204684</v>
      </c>
      <c r="C1667" t="s">
        <v>7308</v>
      </c>
      <c r="D1667" t="s">
        <v>1722</v>
      </c>
      <c r="E1667" t="s">
        <v>1191</v>
      </c>
      <c r="G1667" t="s">
        <v>83</v>
      </c>
      <c r="H1667" t="s">
        <v>7309</v>
      </c>
    </row>
    <row r="1668" spans="1:8" x14ac:dyDescent="0.35">
      <c r="A1668" t="s">
        <v>7310</v>
      </c>
      <c r="B1668" t="str">
        <f>"9781552388129"</f>
        <v>9781552388129</v>
      </c>
      <c r="C1668" t="s">
        <v>7311</v>
      </c>
      <c r="D1668" t="s">
        <v>7312</v>
      </c>
      <c r="E1668" t="s">
        <v>4806</v>
      </c>
      <c r="F1668" t="s">
        <v>4807</v>
      </c>
      <c r="G1668" t="s">
        <v>44</v>
      </c>
      <c r="H1668" t="s">
        <v>7313</v>
      </c>
    </row>
    <row r="1669" spans="1:8" x14ac:dyDescent="0.35">
      <c r="A1669" t="s">
        <v>7314</v>
      </c>
      <c r="B1669" t="str">
        <f>"9781317071136"</f>
        <v>9781317071136</v>
      </c>
      <c r="C1669" t="s">
        <v>7315</v>
      </c>
      <c r="D1669" t="s">
        <v>7316</v>
      </c>
      <c r="E1669" t="s">
        <v>11</v>
      </c>
      <c r="F1669" t="s">
        <v>7317</v>
      </c>
      <c r="G1669" t="s">
        <v>44</v>
      </c>
      <c r="H1669" t="s">
        <v>7318</v>
      </c>
    </row>
    <row r="1670" spans="1:8" x14ac:dyDescent="0.35">
      <c r="A1670" t="s">
        <v>7319</v>
      </c>
      <c r="B1670" t="str">
        <f>"9781439911754"</f>
        <v>9781439911754</v>
      </c>
      <c r="C1670" t="s">
        <v>7320</v>
      </c>
      <c r="D1670" t="s">
        <v>137</v>
      </c>
      <c r="E1670" t="s">
        <v>162</v>
      </c>
      <c r="F1670" t="s">
        <v>7321</v>
      </c>
      <c r="G1670" t="s">
        <v>139</v>
      </c>
      <c r="H1670" t="s">
        <v>7322</v>
      </c>
    </row>
    <row r="1671" spans="1:8" x14ac:dyDescent="0.35">
      <c r="A1671" t="s">
        <v>7323</v>
      </c>
      <c r="B1671" t="str">
        <f>"9781626374140"</f>
        <v>9781626374140</v>
      </c>
      <c r="C1671" t="s">
        <v>7324</v>
      </c>
      <c r="D1671" t="s">
        <v>7325</v>
      </c>
      <c r="E1671" t="s">
        <v>4891</v>
      </c>
      <c r="G1671" t="s">
        <v>39</v>
      </c>
      <c r="H1671" t="s">
        <v>7326</v>
      </c>
    </row>
    <row r="1672" spans="1:8" x14ac:dyDescent="0.35">
      <c r="A1672" t="s">
        <v>7327</v>
      </c>
      <c r="B1672" t="str">
        <f>"9780816538188"</f>
        <v>9780816538188</v>
      </c>
      <c r="C1672" t="s">
        <v>7328</v>
      </c>
      <c r="D1672" t="s">
        <v>7329</v>
      </c>
      <c r="E1672" t="s">
        <v>5208</v>
      </c>
      <c r="G1672" t="s">
        <v>83</v>
      </c>
      <c r="H1672" t="s">
        <v>7330</v>
      </c>
    </row>
    <row r="1673" spans="1:8" x14ac:dyDescent="0.35">
      <c r="A1673" t="s">
        <v>7331</v>
      </c>
      <c r="B1673" t="str">
        <f>"9781439915448"</f>
        <v>9781439915448</v>
      </c>
      <c r="C1673" t="s">
        <v>7332</v>
      </c>
      <c r="D1673" t="s">
        <v>7333</v>
      </c>
      <c r="E1673" t="s">
        <v>162</v>
      </c>
      <c r="G1673" t="s">
        <v>96</v>
      </c>
      <c r="H1673" t="s">
        <v>7334</v>
      </c>
    </row>
    <row r="1674" spans="1:8" x14ac:dyDescent="0.35">
      <c r="A1674" t="s">
        <v>7335</v>
      </c>
      <c r="B1674" t="str">
        <f>"9781439916407"</f>
        <v>9781439916407</v>
      </c>
      <c r="C1674" t="s">
        <v>7336</v>
      </c>
      <c r="D1674" t="s">
        <v>175</v>
      </c>
      <c r="E1674" t="s">
        <v>162</v>
      </c>
      <c r="G1674" t="s">
        <v>55</v>
      </c>
    </row>
    <row r="1675" spans="1:8" x14ac:dyDescent="0.35">
      <c r="A1675" t="s">
        <v>7337</v>
      </c>
      <c r="B1675" t="str">
        <f>"9781467768313"</f>
        <v>9781467768313</v>
      </c>
      <c r="C1675" t="s">
        <v>7338</v>
      </c>
      <c r="D1675" t="s">
        <v>7339</v>
      </c>
      <c r="E1675" t="s">
        <v>7340</v>
      </c>
      <c r="F1675" t="s">
        <v>7341</v>
      </c>
      <c r="G1675" t="s">
        <v>60</v>
      </c>
      <c r="H1675" t="s">
        <v>7342</v>
      </c>
    </row>
    <row r="1676" spans="1:8" x14ac:dyDescent="0.35">
      <c r="A1676" t="s">
        <v>7337</v>
      </c>
      <c r="B1676" t="str">
        <f>"9781467732475"</f>
        <v>9781467732475</v>
      </c>
      <c r="C1676" t="s">
        <v>7343</v>
      </c>
      <c r="D1676" t="s">
        <v>7344</v>
      </c>
      <c r="E1676" t="s">
        <v>7340</v>
      </c>
      <c r="F1676" t="s">
        <v>7341</v>
      </c>
      <c r="G1676" t="s">
        <v>60</v>
      </c>
      <c r="H1676" t="s">
        <v>7345</v>
      </c>
    </row>
    <row r="1677" spans="1:8" x14ac:dyDescent="0.35">
      <c r="A1677" t="s">
        <v>7346</v>
      </c>
      <c r="B1677" t="str">
        <f>"9781527512092"</f>
        <v>9781527512092</v>
      </c>
      <c r="C1677" t="s">
        <v>7347</v>
      </c>
      <c r="D1677" t="s">
        <v>7348</v>
      </c>
      <c r="E1677" t="s">
        <v>2326</v>
      </c>
    </row>
    <row r="1678" spans="1:8" x14ac:dyDescent="0.35">
      <c r="A1678" t="s">
        <v>7349</v>
      </c>
      <c r="B1678" t="str">
        <f>"9780810168077"</f>
        <v>9780810168077</v>
      </c>
      <c r="C1678" t="s">
        <v>7350</v>
      </c>
      <c r="D1678" t="s">
        <v>7351</v>
      </c>
      <c r="E1678" t="s">
        <v>7352</v>
      </c>
      <c r="F1678" t="s">
        <v>7353</v>
      </c>
      <c r="G1678" t="s">
        <v>60</v>
      </c>
      <c r="H1678" t="s">
        <v>7354</v>
      </c>
    </row>
    <row r="1679" spans="1:8" x14ac:dyDescent="0.35">
      <c r="A1679" t="s">
        <v>7355</v>
      </c>
      <c r="B1679" t="str">
        <f>"9781501716164"</f>
        <v>9781501716164</v>
      </c>
      <c r="C1679" t="s">
        <v>7356</v>
      </c>
      <c r="D1679" t="s">
        <v>7357</v>
      </c>
      <c r="E1679" t="s">
        <v>4739</v>
      </c>
      <c r="F1679" t="s">
        <v>4764</v>
      </c>
      <c r="G1679" t="s">
        <v>55</v>
      </c>
      <c r="H1679" t="s">
        <v>7358</v>
      </c>
    </row>
    <row r="1680" spans="1:8" x14ac:dyDescent="0.35">
      <c r="A1680" t="s">
        <v>7359</v>
      </c>
      <c r="B1680" t="str">
        <f>"9780826522139"</f>
        <v>9780826522139</v>
      </c>
      <c r="C1680" t="s">
        <v>7360</v>
      </c>
      <c r="D1680" t="s">
        <v>7361</v>
      </c>
      <c r="E1680" t="s">
        <v>3908</v>
      </c>
      <c r="F1680" t="s">
        <v>7362</v>
      </c>
      <c r="G1680" t="s">
        <v>39</v>
      </c>
      <c r="H1680" t="s">
        <v>7363</v>
      </c>
    </row>
    <row r="1681" spans="1:8" x14ac:dyDescent="0.35">
      <c r="A1681" t="s">
        <v>7364</v>
      </c>
      <c r="B1681" t="str">
        <f>"9781501730566"</f>
        <v>9781501730566</v>
      </c>
      <c r="C1681" t="s">
        <v>7365</v>
      </c>
      <c r="D1681" t="s">
        <v>7366</v>
      </c>
      <c r="E1681" t="s">
        <v>4739</v>
      </c>
      <c r="G1681" t="s">
        <v>7367</v>
      </c>
    </row>
    <row r="1682" spans="1:8" x14ac:dyDescent="0.35">
      <c r="A1682" t="s">
        <v>7368</v>
      </c>
      <c r="B1682" t="str">
        <f>"9781847884558"</f>
        <v>9781847884558</v>
      </c>
      <c r="C1682" t="s">
        <v>7369</v>
      </c>
      <c r="D1682" t="s">
        <v>7370</v>
      </c>
      <c r="E1682" t="s">
        <v>3604</v>
      </c>
      <c r="G1682" t="s">
        <v>7371</v>
      </c>
      <c r="H1682" t="s">
        <v>7372</v>
      </c>
    </row>
  </sheetData>
  <autoFilter ref="A1:H1682" xr:uid="{2E9F2116-E7C7-42CE-BFE5-3CCBDA9B2FB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McCormick</dc:creator>
  <cp:lastModifiedBy>Elizabeth McCormick</cp:lastModifiedBy>
  <dcterms:created xsi:type="dcterms:W3CDTF">2020-08-13T14:26:50Z</dcterms:created>
  <dcterms:modified xsi:type="dcterms:W3CDTF">2020-08-13T14:29:23Z</dcterms:modified>
</cp:coreProperties>
</file>